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FORMULA RATES SPP\Annual Update AEP West Trans\True Ups\2025 Rate Year\As Filed\"/>
    </mc:Choice>
  </mc:AlternateContent>
  <xr:revisionPtr revIDLastSave="0" documentId="13_ncr:1_{FA348F62-D479-4446-A812-C50A3A86B2F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33" r:id="rId1"/>
    <sheet name="20XX NOLC Refund Detail" sheetId="34" r:id="rId2"/>
    <sheet name="Summary" sheetId="29" r:id="rId3"/>
    <sheet name="Pivot" sheetId="31" r:id="rId4"/>
    <sheet name="Transactions" sheetId="18" r:id="rId5"/>
  </sheets>
  <definedNames>
    <definedName name="_xlnm._FilterDatabase" localSheetId="4" hidden="1">Transactions!$A$15:$R$211</definedName>
    <definedName name="AS1_1999" localSheetId="4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2">Summary!$C$1:$I$40</definedName>
    <definedName name="_xlnm.Print_Area" localSheetId="4">Transactions!$A$1:$R$212</definedName>
    <definedName name="_xlnm.Print_Titles" localSheetId="3">Pivot!$3:$4</definedName>
    <definedName name="_xlnm.Print_Titles" localSheetId="4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8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34" l="1"/>
  <c r="C19" i="34"/>
  <c r="B4" i="34"/>
  <c r="B13" i="34"/>
  <c r="G21" i="29"/>
  <c r="C9" i="34" l="1"/>
  <c r="E9" i="34" s="1"/>
  <c r="H26" i="29" s="1"/>
  <c r="C4" i="34"/>
  <c r="C8" i="34"/>
  <c r="C7" i="34"/>
  <c r="C16" i="34"/>
  <c r="C14" i="34"/>
  <c r="C12" i="34"/>
  <c r="C18" i="34"/>
  <c r="C5" i="34"/>
  <c r="C11" i="34"/>
  <c r="C20" i="34"/>
  <c r="C15" i="34"/>
  <c r="C6" i="34"/>
  <c r="C10" i="34"/>
  <c r="D8" i="34"/>
  <c r="E2" i="34"/>
  <c r="D16" i="34"/>
  <c r="D7" i="34"/>
  <c r="D15" i="34"/>
  <c r="D4" i="34"/>
  <c r="D14" i="34"/>
  <c r="D12" i="34"/>
  <c r="D11" i="34"/>
  <c r="D20" i="34"/>
  <c r="D10" i="34"/>
  <c r="D19" i="34"/>
  <c r="E19" i="34" s="1"/>
  <c r="H36" i="29" s="1"/>
  <c r="D6" i="34"/>
  <c r="D5" i="34"/>
  <c r="D18" i="34"/>
  <c r="D13" i="34"/>
  <c r="C13" i="34"/>
  <c r="C21" i="34" l="1"/>
  <c r="E8" i="34"/>
  <c r="H25" i="29" s="1"/>
  <c r="E11" i="34"/>
  <c r="H28" i="29" s="1"/>
  <c r="E4" i="34"/>
  <c r="H21" i="29" s="1"/>
  <c r="E15" i="34"/>
  <c r="H32" i="29" s="1"/>
  <c r="E16" i="34"/>
  <c r="H33" i="29" s="1"/>
  <c r="E14" i="34"/>
  <c r="H31" i="29" s="1"/>
  <c r="E6" i="34"/>
  <c r="H23" i="29" s="1"/>
  <c r="E12" i="34"/>
  <c r="H29" i="29" s="1"/>
  <c r="E7" i="34"/>
  <c r="H24" i="29" s="1"/>
  <c r="E5" i="34"/>
  <c r="H22" i="29" s="1"/>
  <c r="E10" i="34"/>
  <c r="H27" i="29" s="1"/>
  <c r="E20" i="34"/>
  <c r="H37" i="29" s="1"/>
  <c r="D21" i="34"/>
  <c r="E18" i="34"/>
  <c r="H35" i="29" s="1"/>
  <c r="D17" i="34"/>
  <c r="C17" i="34"/>
  <c r="C22" i="34" s="1"/>
  <c r="E13" i="34"/>
  <c r="H30" i="29" s="1"/>
  <c r="D22" i="34" l="1"/>
  <c r="E21" i="34"/>
  <c r="E17" i="34"/>
  <c r="E22" i="34" l="1"/>
  <c r="C5" i="29"/>
  <c r="L3" i="18" l="1"/>
  <c r="K1" i="18" l="1"/>
  <c r="B79" i="18"/>
  <c r="B78" i="18"/>
  <c r="B77" i="18"/>
  <c r="B76" i="18"/>
  <c r="B75" i="18"/>
  <c r="B74" i="18"/>
  <c r="B73" i="18"/>
  <c r="B72" i="18"/>
  <c r="B71" i="18"/>
  <c r="B70" i="18"/>
  <c r="B69" i="18"/>
  <c r="B68" i="18"/>
  <c r="E20" i="29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54" i="18" s="1"/>
  <c r="D38" i="18"/>
  <c r="D62" i="18" s="1"/>
  <c r="J19" i="18"/>
  <c r="D43" i="18"/>
  <c r="D67" i="18" s="1"/>
  <c r="D91" i="18" s="1"/>
  <c r="D103" i="18" s="1"/>
  <c r="D115" i="18" s="1"/>
  <c r="D127" i="18" s="1"/>
  <c r="D139" i="18" s="1"/>
  <c r="D151" i="18" s="1"/>
  <c r="D163" i="18" s="1"/>
  <c r="D175" i="18" s="1"/>
  <c r="B31" i="18"/>
  <c r="D42" i="18"/>
  <c r="D54" i="18" s="1"/>
  <c r="B30" i="18"/>
  <c r="D41" i="18"/>
  <c r="D65" i="18" s="1"/>
  <c r="B29" i="18"/>
  <c r="B28" i="18"/>
  <c r="C39" i="18"/>
  <c r="C51" i="18" s="1"/>
  <c r="D39" i="18"/>
  <c r="D51" i="18" s="1"/>
  <c r="B27" i="18"/>
  <c r="B26" i="18"/>
  <c r="B25" i="18"/>
  <c r="B24" i="18"/>
  <c r="B23" i="18"/>
  <c r="B22" i="18"/>
  <c r="B21" i="18"/>
  <c r="D32" i="18"/>
  <c r="D44" i="18" s="1"/>
  <c r="B16" i="18"/>
  <c r="J1" i="18"/>
  <c r="C43" i="18"/>
  <c r="C55" i="18" s="1"/>
  <c r="B175" i="18"/>
  <c r="B174" i="18"/>
  <c r="B173" i="18"/>
  <c r="B172" i="18"/>
  <c r="B171" i="18"/>
  <c r="C38" i="18"/>
  <c r="C50" i="18" s="1"/>
  <c r="B170" i="18"/>
  <c r="C37" i="18"/>
  <c r="C49" i="18" s="1"/>
  <c r="B169" i="18"/>
  <c r="B168" i="18"/>
  <c r="B167" i="18"/>
  <c r="B166" i="18"/>
  <c r="C33" i="18"/>
  <c r="C45" i="18" s="1"/>
  <c r="B165" i="18"/>
  <c r="C32" i="18"/>
  <c r="C44" i="18" s="1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34" i="18"/>
  <c r="C46" i="18" s="1"/>
  <c r="C41" i="18"/>
  <c r="C65" i="18" s="1"/>
  <c r="D36" i="18"/>
  <c r="D48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C52" i="18" s="1"/>
  <c r="D35" i="18"/>
  <c r="D59" i="18" s="1"/>
  <c r="D83" i="18" s="1"/>
  <c r="D95" i="18" s="1"/>
  <c r="D107" i="18" s="1"/>
  <c r="D119" i="18" s="1"/>
  <c r="D131" i="18" s="1"/>
  <c r="D143" i="18" s="1"/>
  <c r="D155" i="18" s="1"/>
  <c r="D37" i="18"/>
  <c r="D61" i="18" s="1"/>
  <c r="D40" i="18"/>
  <c r="D33" i="18"/>
  <c r="D45" i="18" s="1"/>
  <c r="D34" i="18"/>
  <c r="D58" i="18" s="1"/>
  <c r="C3" i="29"/>
  <c r="F10" i="29"/>
  <c r="G36" i="29"/>
  <c r="G28" i="29"/>
  <c r="G22" i="29"/>
  <c r="G35" i="29"/>
  <c r="E31" i="29"/>
  <c r="G26" i="29"/>
  <c r="G24" i="29"/>
  <c r="D22" i="29"/>
  <c r="D30" i="29"/>
  <c r="D24" i="29"/>
  <c r="E22" i="29"/>
  <c r="G32" i="29"/>
  <c r="E37" i="29"/>
  <c r="E26" i="29"/>
  <c r="E23" i="29"/>
  <c r="G29" i="29"/>
  <c r="G27" i="29"/>
  <c r="E33" i="29"/>
  <c r="E36" i="29"/>
  <c r="E28" i="29"/>
  <c r="E27" i="29"/>
  <c r="G25" i="29"/>
  <c r="E21" i="29"/>
  <c r="G30" i="29"/>
  <c r="E30" i="29"/>
  <c r="G23" i="29"/>
  <c r="G31" i="29"/>
  <c r="E24" i="29"/>
  <c r="E25" i="29"/>
  <c r="G33" i="29"/>
  <c r="G37" i="29"/>
  <c r="E29" i="29"/>
  <c r="E32" i="29"/>
  <c r="E35" i="29"/>
  <c r="C57" i="18" l="1"/>
  <c r="C81" i="18" s="1"/>
  <c r="C93" i="18" s="1"/>
  <c r="C105" i="18" s="1"/>
  <c r="C117" i="18" s="1"/>
  <c r="C129" i="18" s="1"/>
  <c r="C141" i="18" s="1"/>
  <c r="C153" i="18" s="1"/>
  <c r="C177" i="18" s="1"/>
  <c r="C189" i="18" s="1"/>
  <c r="C201" i="18" s="1"/>
  <c r="C72" i="18"/>
  <c r="C56" i="18"/>
  <c r="C80" i="18" s="1"/>
  <c r="C92" i="18" s="1"/>
  <c r="C104" i="18" s="1"/>
  <c r="C116" i="18" s="1"/>
  <c r="C128" i="18" s="1"/>
  <c r="C140" i="18" s="1"/>
  <c r="C152" i="18" s="1"/>
  <c r="C176" i="18" s="1"/>
  <c r="C188" i="18" s="1"/>
  <c r="C200" i="18" s="1"/>
  <c r="D55" i="18"/>
  <c r="C53" i="18"/>
  <c r="D63" i="18"/>
  <c r="D87" i="18" s="1"/>
  <c r="D99" i="18" s="1"/>
  <c r="D111" i="18" s="1"/>
  <c r="D123" i="18" s="1"/>
  <c r="D135" i="18" s="1"/>
  <c r="D147" i="18" s="1"/>
  <c r="D159" i="18" s="1"/>
  <c r="D183" i="18" s="1"/>
  <c r="D195" i="18" s="1"/>
  <c r="D207" i="18" s="1"/>
  <c r="D50" i="18"/>
  <c r="D66" i="18"/>
  <c r="D78" i="18" s="1"/>
  <c r="C66" i="18"/>
  <c r="C78" i="18" s="1"/>
  <c r="D57" i="18"/>
  <c r="D81" i="18" s="1"/>
  <c r="D93" i="18" s="1"/>
  <c r="D105" i="18" s="1"/>
  <c r="D117" i="18" s="1"/>
  <c r="D129" i="18" s="1"/>
  <c r="D141" i="18" s="1"/>
  <c r="D153" i="18" s="1"/>
  <c r="D46" i="18"/>
  <c r="C61" i="18"/>
  <c r="C73" i="18" s="1"/>
  <c r="C64" i="18"/>
  <c r="C76" i="18" s="1"/>
  <c r="C63" i="18"/>
  <c r="D79" i="18"/>
  <c r="D53" i="18"/>
  <c r="E10" i="29"/>
  <c r="D20" i="29"/>
  <c r="O13" i="18"/>
  <c r="C67" i="18"/>
  <c r="C79" i="18" s="1"/>
  <c r="D77" i="18"/>
  <c r="D89" i="18"/>
  <c r="D101" i="18" s="1"/>
  <c r="D113" i="18" s="1"/>
  <c r="D125" i="18" s="1"/>
  <c r="D137" i="18" s="1"/>
  <c r="D149" i="18" s="1"/>
  <c r="D161" i="18" s="1"/>
  <c r="D185" i="18" s="1"/>
  <c r="D197" i="18" s="1"/>
  <c r="D209" i="18" s="1"/>
  <c r="D74" i="18"/>
  <c r="D86" i="18"/>
  <c r="D98" i="18" s="1"/>
  <c r="D110" i="18" s="1"/>
  <c r="D122" i="18" s="1"/>
  <c r="D134" i="18" s="1"/>
  <c r="D146" i="18" s="1"/>
  <c r="D158" i="18" s="1"/>
  <c r="D170" i="18" s="1"/>
  <c r="C62" i="18"/>
  <c r="D49" i="18"/>
  <c r="D60" i="18"/>
  <c r="D72" i="18" s="1"/>
  <c r="C48" i="18"/>
  <c r="D71" i="18"/>
  <c r="C58" i="18"/>
  <c r="D56" i="18"/>
  <c r="D80" i="18" s="1"/>
  <c r="D92" i="18" s="1"/>
  <c r="D104" i="18" s="1"/>
  <c r="D116" i="18" s="1"/>
  <c r="D128" i="18" s="1"/>
  <c r="D140" i="18" s="1"/>
  <c r="D152" i="18" s="1"/>
  <c r="F24" i="29"/>
  <c r="I24" i="29" s="1"/>
  <c r="F30" i="29"/>
  <c r="I30" i="29" s="1"/>
  <c r="H34" i="29"/>
  <c r="G34" i="29"/>
  <c r="E34" i="29"/>
  <c r="F22" i="29"/>
  <c r="I22" i="29" s="1"/>
  <c r="H38" i="29"/>
  <c r="E38" i="29"/>
  <c r="G38" i="29"/>
  <c r="C180" i="18"/>
  <c r="C192" i="18" s="1"/>
  <c r="C204" i="18" s="1"/>
  <c r="C168" i="18"/>
  <c r="O14" i="18"/>
  <c r="D167" i="18"/>
  <c r="D179" i="18"/>
  <c r="D191" i="18" s="1"/>
  <c r="D203" i="18" s="1"/>
  <c r="D70" i="18"/>
  <c r="D82" i="18"/>
  <c r="D94" i="18" s="1"/>
  <c r="D106" i="18" s="1"/>
  <c r="D118" i="18" s="1"/>
  <c r="D130" i="18" s="1"/>
  <c r="D142" i="18" s="1"/>
  <c r="D154" i="18" s="1"/>
  <c r="C47" i="18"/>
  <c r="C59" i="18"/>
  <c r="D187" i="18"/>
  <c r="D199" i="18" s="1"/>
  <c r="D211" i="18" s="1"/>
  <c r="D85" i="18"/>
  <c r="D97" i="18" s="1"/>
  <c r="D109" i="18" s="1"/>
  <c r="D121" i="18" s="1"/>
  <c r="D133" i="18" s="1"/>
  <c r="D145" i="18" s="1"/>
  <c r="D157" i="18" s="1"/>
  <c r="D73" i="18"/>
  <c r="D47" i="18"/>
  <c r="C89" i="18"/>
  <c r="C101" i="18" s="1"/>
  <c r="C113" i="18" s="1"/>
  <c r="C125" i="18" s="1"/>
  <c r="C137" i="18" s="1"/>
  <c r="C149" i="18" s="1"/>
  <c r="C161" i="18" s="1"/>
  <c r="C77" i="18"/>
  <c r="D64" i="18"/>
  <c r="D52" i="18"/>
  <c r="D29" i="29"/>
  <c r="D37" i="29"/>
  <c r="D31" i="29"/>
  <c r="D32" i="29"/>
  <c r="D27" i="29"/>
  <c r="D23" i="29"/>
  <c r="D28" i="29"/>
  <c r="D35" i="29"/>
  <c r="D36" i="29"/>
  <c r="D26" i="29"/>
  <c r="D25" i="29"/>
  <c r="D21" i="29"/>
  <c r="D33" i="29"/>
  <c r="F35" i="29" l="1"/>
  <c r="I35" i="29" s="1"/>
  <c r="F36" i="29"/>
  <c r="I36" i="29" s="1"/>
  <c r="F28" i="29"/>
  <c r="I28" i="29" s="1"/>
  <c r="F37" i="29"/>
  <c r="I37" i="29" s="1"/>
  <c r="D38" i="29"/>
  <c r="F21" i="29"/>
  <c r="I21" i="29" s="1"/>
  <c r="D34" i="29"/>
  <c r="F26" i="29"/>
  <c r="I26" i="29" s="1"/>
  <c r="F23" i="29"/>
  <c r="I23" i="29" s="1"/>
  <c r="F29" i="29"/>
  <c r="I29" i="29" s="1"/>
  <c r="F33" i="29"/>
  <c r="I33" i="29" s="1"/>
  <c r="F32" i="29"/>
  <c r="I32" i="29" s="1"/>
  <c r="F25" i="29"/>
  <c r="I25" i="29" s="1"/>
  <c r="F31" i="29"/>
  <c r="I31" i="29" s="1"/>
  <c r="F27" i="29"/>
  <c r="I27" i="29" s="1"/>
  <c r="D171" i="18"/>
  <c r="C165" i="18"/>
  <c r="C69" i="18"/>
  <c r="C164" i="18"/>
  <c r="C68" i="18"/>
  <c r="C91" i="18"/>
  <c r="C103" i="18" s="1"/>
  <c r="C115" i="18" s="1"/>
  <c r="C127" i="18" s="1"/>
  <c r="C139" i="18" s="1"/>
  <c r="C151" i="18" s="1"/>
  <c r="C163" i="18" s="1"/>
  <c r="C187" i="18" s="1"/>
  <c r="C199" i="18" s="1"/>
  <c r="C211" i="18" s="1"/>
  <c r="D90" i="18"/>
  <c r="D102" i="18" s="1"/>
  <c r="D114" i="18" s="1"/>
  <c r="D126" i="18" s="1"/>
  <c r="D138" i="18" s="1"/>
  <c r="D150" i="18" s="1"/>
  <c r="D162" i="18" s="1"/>
  <c r="D174" i="18" s="1"/>
  <c r="D75" i="18"/>
  <c r="C90" i="18"/>
  <c r="C102" i="18" s="1"/>
  <c r="C114" i="18" s="1"/>
  <c r="C126" i="18" s="1"/>
  <c r="C138" i="18" s="1"/>
  <c r="C150" i="18" s="1"/>
  <c r="C162" i="18" s="1"/>
  <c r="C186" i="18" s="1"/>
  <c r="C198" i="18" s="1"/>
  <c r="C210" i="18" s="1"/>
  <c r="C88" i="18"/>
  <c r="C100" i="18" s="1"/>
  <c r="C112" i="18" s="1"/>
  <c r="C124" i="18" s="1"/>
  <c r="C136" i="18" s="1"/>
  <c r="C148" i="18" s="1"/>
  <c r="C160" i="18" s="1"/>
  <c r="C172" i="18" s="1"/>
  <c r="D69" i="18"/>
  <c r="D84" i="18"/>
  <c r="D96" i="18" s="1"/>
  <c r="D108" i="18" s="1"/>
  <c r="D120" i="18" s="1"/>
  <c r="D132" i="18" s="1"/>
  <c r="D144" i="18" s="1"/>
  <c r="D156" i="18" s="1"/>
  <c r="D180" i="18" s="1"/>
  <c r="D192" i="18" s="1"/>
  <c r="D204" i="18" s="1"/>
  <c r="D182" i="18"/>
  <c r="D194" i="18" s="1"/>
  <c r="D206" i="18" s="1"/>
  <c r="D68" i="18"/>
  <c r="C85" i="18"/>
  <c r="C97" i="18" s="1"/>
  <c r="C109" i="18" s="1"/>
  <c r="C121" i="18" s="1"/>
  <c r="C133" i="18" s="1"/>
  <c r="C145" i="18" s="1"/>
  <c r="C157" i="18" s="1"/>
  <c r="C181" i="18" s="1"/>
  <c r="C193" i="18" s="1"/>
  <c r="C205" i="18" s="1"/>
  <c r="D173" i="18"/>
  <c r="C87" i="18"/>
  <c r="C99" i="18" s="1"/>
  <c r="C111" i="18" s="1"/>
  <c r="C123" i="18" s="1"/>
  <c r="C135" i="18" s="1"/>
  <c r="C147" i="18" s="1"/>
  <c r="C159" i="18" s="1"/>
  <c r="C75" i="18"/>
  <c r="G39" i="29"/>
  <c r="C86" i="18"/>
  <c r="C98" i="18" s="1"/>
  <c r="C110" i="18" s="1"/>
  <c r="C122" i="18" s="1"/>
  <c r="C134" i="18" s="1"/>
  <c r="C146" i="18" s="1"/>
  <c r="C158" i="18" s="1"/>
  <c r="C74" i="18"/>
  <c r="C82" i="18"/>
  <c r="C94" i="18" s="1"/>
  <c r="C106" i="18" s="1"/>
  <c r="C118" i="18" s="1"/>
  <c r="C130" i="18" s="1"/>
  <c r="C142" i="18" s="1"/>
  <c r="C154" i="18" s="1"/>
  <c r="C70" i="18"/>
  <c r="D177" i="18"/>
  <c r="D189" i="18" s="1"/>
  <c r="D201" i="18" s="1"/>
  <c r="D165" i="18"/>
  <c r="D164" i="18"/>
  <c r="D176" i="18"/>
  <c r="D188" i="18" s="1"/>
  <c r="D200" i="18" s="1"/>
  <c r="P13" i="18"/>
  <c r="C173" i="18"/>
  <c r="C185" i="18"/>
  <c r="C197" i="18" s="1"/>
  <c r="C209" i="18" s="1"/>
  <c r="P14" i="18"/>
  <c r="P212" i="18"/>
  <c r="D166" i="18"/>
  <c r="D178" i="18"/>
  <c r="D190" i="18" s="1"/>
  <c r="D202" i="18" s="1"/>
  <c r="E39" i="29"/>
  <c r="D88" i="18"/>
  <c r="D100" i="18" s="1"/>
  <c r="D112" i="18" s="1"/>
  <c r="D124" i="18" s="1"/>
  <c r="D136" i="18" s="1"/>
  <c r="D148" i="18" s="1"/>
  <c r="D160" i="18" s="1"/>
  <c r="D76" i="18"/>
  <c r="D181" i="18"/>
  <c r="D193" i="18" s="1"/>
  <c r="D205" i="18" s="1"/>
  <c r="D169" i="18"/>
  <c r="C83" i="18"/>
  <c r="C95" i="18" s="1"/>
  <c r="C107" i="18" s="1"/>
  <c r="C119" i="18" s="1"/>
  <c r="C131" i="18" s="1"/>
  <c r="C143" i="18" s="1"/>
  <c r="C155" i="18" s="1"/>
  <c r="C71" i="18"/>
  <c r="H39" i="29"/>
  <c r="F38" i="29" l="1"/>
  <c r="D39" i="29"/>
  <c r="F34" i="29"/>
  <c r="C175" i="18"/>
  <c r="D186" i="18"/>
  <c r="D198" i="18" s="1"/>
  <c r="D210" i="18" s="1"/>
  <c r="D168" i="18"/>
  <c r="C174" i="18"/>
  <c r="C184" i="18"/>
  <c r="C196" i="18" s="1"/>
  <c r="C208" i="18" s="1"/>
  <c r="C169" i="18"/>
  <c r="C183" i="18"/>
  <c r="C195" i="18" s="1"/>
  <c r="C207" i="18" s="1"/>
  <c r="C171" i="18"/>
  <c r="Q13" i="18"/>
  <c r="Q14" i="18"/>
  <c r="C170" i="18"/>
  <c r="C182" i="18"/>
  <c r="C194" i="18" s="1"/>
  <c r="C206" i="18" s="1"/>
  <c r="C178" i="18"/>
  <c r="C190" i="18" s="1"/>
  <c r="C202" i="18" s="1"/>
  <c r="C166" i="18"/>
  <c r="I34" i="29"/>
  <c r="I38" i="29"/>
  <c r="C167" i="18"/>
  <c r="C179" i="18"/>
  <c r="C191" i="18" s="1"/>
  <c r="C203" i="18" s="1"/>
  <c r="D184" i="18"/>
  <c r="D196" i="18" s="1"/>
  <c r="D208" i="18" s="1"/>
  <c r="D172" i="18"/>
  <c r="F39" i="29" l="1"/>
  <c r="I39" i="29"/>
  <c r="E11" i="29" l="1"/>
  <c r="H211" i="18" l="1"/>
  <c r="K211" i="18" s="1"/>
  <c r="H36" i="18"/>
  <c r="K36" i="18" s="1"/>
  <c r="H148" i="18"/>
  <c r="K148" i="18" s="1"/>
  <c r="H140" i="18"/>
  <c r="K140" i="18" s="1"/>
  <c r="H120" i="18"/>
  <c r="K120" i="18" s="1"/>
  <c r="H112" i="18"/>
  <c r="K112" i="18" s="1"/>
  <c r="H57" i="18"/>
  <c r="K57" i="18" s="1"/>
  <c r="H121" i="18"/>
  <c r="K121" i="18" s="1"/>
  <c r="H181" i="18"/>
  <c r="K181" i="18" s="1"/>
  <c r="H22" i="18"/>
  <c r="K22" i="18" s="1"/>
  <c r="H54" i="18"/>
  <c r="K54" i="18" s="1"/>
  <c r="H86" i="18"/>
  <c r="K86" i="18" s="1"/>
  <c r="H118" i="18"/>
  <c r="K118" i="18" s="1"/>
  <c r="H150" i="18"/>
  <c r="K150" i="18" s="1"/>
  <c r="H182" i="18"/>
  <c r="K182" i="18" s="1"/>
  <c r="H164" i="18"/>
  <c r="K164" i="18" s="1"/>
  <c r="H196" i="18"/>
  <c r="K196" i="18" s="1"/>
  <c r="H53" i="18"/>
  <c r="K53" i="18" s="1"/>
  <c r="H117" i="18"/>
  <c r="K117" i="18" s="1"/>
  <c r="H23" i="18"/>
  <c r="K23" i="18" s="1"/>
  <c r="H55" i="18"/>
  <c r="K55" i="18" s="1"/>
  <c r="H87" i="18"/>
  <c r="K87" i="18" s="1"/>
  <c r="H119" i="18"/>
  <c r="K119" i="18" s="1"/>
  <c r="H151" i="18"/>
  <c r="K151" i="18" s="1"/>
  <c r="H183" i="18"/>
  <c r="K183" i="18" s="1"/>
  <c r="H105" i="18"/>
  <c r="K105" i="18" s="1"/>
  <c r="H78" i="18"/>
  <c r="K78" i="18" s="1"/>
  <c r="H47" i="18"/>
  <c r="K47" i="18" s="1"/>
  <c r="H124" i="18"/>
  <c r="K124" i="18" s="1"/>
  <c r="H114" i="18"/>
  <c r="K114" i="18" s="1"/>
  <c r="H177" i="18"/>
  <c r="K177" i="18" s="1"/>
  <c r="H100" i="18"/>
  <c r="K100" i="18" s="1"/>
  <c r="H28" i="18"/>
  <c r="K28" i="18" s="1"/>
  <c r="H156" i="18"/>
  <c r="K156" i="18" s="1"/>
  <c r="H136" i="18"/>
  <c r="K136" i="18" s="1"/>
  <c r="H128" i="18"/>
  <c r="K128" i="18" s="1"/>
  <c r="H65" i="18"/>
  <c r="K65" i="18" s="1"/>
  <c r="H129" i="18"/>
  <c r="K129" i="18" s="1"/>
  <c r="H185" i="18"/>
  <c r="K185" i="18" s="1"/>
  <c r="H26" i="18"/>
  <c r="K26" i="18" s="1"/>
  <c r="H58" i="18"/>
  <c r="K58" i="18" s="1"/>
  <c r="H90" i="18"/>
  <c r="K90" i="18" s="1"/>
  <c r="H122" i="18"/>
  <c r="K122" i="18" s="1"/>
  <c r="H154" i="18"/>
  <c r="K154" i="18" s="1"/>
  <c r="H186" i="18"/>
  <c r="K186" i="18" s="1"/>
  <c r="H168" i="18"/>
  <c r="K168" i="18" s="1"/>
  <c r="H200" i="18"/>
  <c r="K200" i="18" s="1"/>
  <c r="H61" i="18"/>
  <c r="K61" i="18" s="1"/>
  <c r="H125" i="18"/>
  <c r="K125" i="18" s="1"/>
  <c r="H27" i="18"/>
  <c r="K27" i="18" s="1"/>
  <c r="H59" i="18"/>
  <c r="K59" i="18" s="1"/>
  <c r="H91" i="18"/>
  <c r="K91" i="18" s="1"/>
  <c r="H123" i="18"/>
  <c r="K123" i="18" s="1"/>
  <c r="H155" i="18"/>
  <c r="K155" i="18" s="1"/>
  <c r="H187" i="18"/>
  <c r="K187" i="18" s="1"/>
  <c r="H159" i="18"/>
  <c r="K159" i="18" s="1"/>
  <c r="H191" i="18"/>
  <c r="K191" i="18" s="1"/>
  <c r="H195" i="18"/>
  <c r="K195" i="18" s="1"/>
  <c r="H108" i="18"/>
  <c r="K108" i="18" s="1"/>
  <c r="H169" i="18"/>
  <c r="K169" i="18" s="1"/>
  <c r="H142" i="18"/>
  <c r="K142" i="18" s="1"/>
  <c r="H101" i="18"/>
  <c r="K101" i="18" s="1"/>
  <c r="H111" i="18"/>
  <c r="K111" i="18" s="1"/>
  <c r="H96" i="18"/>
  <c r="K96" i="18" s="1"/>
  <c r="H82" i="18"/>
  <c r="K82" i="18" s="1"/>
  <c r="H45" i="18"/>
  <c r="K45" i="18" s="1"/>
  <c r="H147" i="18"/>
  <c r="K147" i="18" s="1"/>
  <c r="H52" i="18"/>
  <c r="K52" i="18" s="1"/>
  <c r="H44" i="18"/>
  <c r="K44" i="18" s="1"/>
  <c r="H24" i="18"/>
  <c r="K24" i="18" s="1"/>
  <c r="H152" i="18"/>
  <c r="K152" i="18" s="1"/>
  <c r="H144" i="18"/>
  <c r="K144" i="18" s="1"/>
  <c r="H73" i="18"/>
  <c r="K73" i="18" s="1"/>
  <c r="H137" i="18"/>
  <c r="K137" i="18" s="1"/>
  <c r="H189" i="18"/>
  <c r="K189" i="18" s="1"/>
  <c r="H30" i="18"/>
  <c r="K30" i="18" s="1"/>
  <c r="H62" i="18"/>
  <c r="K62" i="18" s="1"/>
  <c r="H94" i="18"/>
  <c r="K94" i="18" s="1"/>
  <c r="H126" i="18"/>
  <c r="K126" i="18" s="1"/>
  <c r="H158" i="18"/>
  <c r="K158" i="18" s="1"/>
  <c r="H190" i="18"/>
  <c r="K190" i="18" s="1"/>
  <c r="H172" i="18"/>
  <c r="K172" i="18" s="1"/>
  <c r="H204" i="18"/>
  <c r="K204" i="18" s="1"/>
  <c r="H69" i="18"/>
  <c r="K69" i="18" s="1"/>
  <c r="H133" i="18"/>
  <c r="K133" i="18" s="1"/>
  <c r="H31" i="18"/>
  <c r="K31" i="18" s="1"/>
  <c r="H63" i="18"/>
  <c r="K63" i="18" s="1"/>
  <c r="H95" i="18"/>
  <c r="K95" i="18" s="1"/>
  <c r="H127" i="18"/>
  <c r="K127" i="18" s="1"/>
  <c r="H88" i="18"/>
  <c r="K88" i="18" s="1"/>
  <c r="H206" i="18"/>
  <c r="K206" i="18" s="1"/>
  <c r="H175" i="18"/>
  <c r="K175" i="18" s="1"/>
  <c r="H49" i="18"/>
  <c r="K49" i="18" s="1"/>
  <c r="H173" i="18"/>
  <c r="K173" i="18" s="1"/>
  <c r="H178" i="18"/>
  <c r="K178" i="18" s="1"/>
  <c r="H109" i="18"/>
  <c r="K109" i="18" s="1"/>
  <c r="H115" i="18"/>
  <c r="K115" i="18" s="1"/>
  <c r="H68" i="18"/>
  <c r="K68" i="18" s="1"/>
  <c r="H60" i="18"/>
  <c r="K60" i="18" s="1"/>
  <c r="H40" i="18"/>
  <c r="K40" i="18" s="1"/>
  <c r="H32" i="18"/>
  <c r="K32" i="18" s="1"/>
  <c r="H160" i="18"/>
  <c r="K160" i="18" s="1"/>
  <c r="H81" i="18"/>
  <c r="K81" i="18" s="1"/>
  <c r="H145" i="18"/>
  <c r="K145" i="18" s="1"/>
  <c r="H193" i="18"/>
  <c r="K193" i="18" s="1"/>
  <c r="H34" i="18"/>
  <c r="K34" i="18" s="1"/>
  <c r="H66" i="18"/>
  <c r="K66" i="18" s="1"/>
  <c r="H98" i="18"/>
  <c r="K98" i="18" s="1"/>
  <c r="H130" i="18"/>
  <c r="K130" i="18" s="1"/>
  <c r="H162" i="18"/>
  <c r="K162" i="18" s="1"/>
  <c r="H194" i="18"/>
  <c r="K194" i="18" s="1"/>
  <c r="H176" i="18"/>
  <c r="K176" i="18" s="1"/>
  <c r="H208" i="18"/>
  <c r="K208" i="18" s="1"/>
  <c r="H77" i="18"/>
  <c r="K77" i="18" s="1"/>
  <c r="H141" i="18"/>
  <c r="K141" i="18" s="1"/>
  <c r="H35" i="18"/>
  <c r="K35" i="18" s="1"/>
  <c r="H67" i="18"/>
  <c r="K67" i="18" s="1"/>
  <c r="H99" i="18"/>
  <c r="K99" i="18" s="1"/>
  <c r="H131" i="18"/>
  <c r="K131" i="18" s="1"/>
  <c r="H163" i="18"/>
  <c r="K163" i="18" s="1"/>
  <c r="H41" i="18"/>
  <c r="K41" i="18" s="1"/>
  <c r="H110" i="18"/>
  <c r="K110" i="18" s="1"/>
  <c r="H37" i="18"/>
  <c r="K37" i="18" s="1"/>
  <c r="H207" i="18"/>
  <c r="K207" i="18" s="1"/>
  <c r="H113" i="18"/>
  <c r="K113" i="18" s="1"/>
  <c r="H209" i="18"/>
  <c r="K209" i="18" s="1"/>
  <c r="H210" i="18"/>
  <c r="K210" i="18" s="1"/>
  <c r="H83" i="18"/>
  <c r="K83" i="18" s="1"/>
  <c r="H132" i="18"/>
  <c r="K132" i="18" s="1"/>
  <c r="H76" i="18"/>
  <c r="K76" i="18" s="1"/>
  <c r="H56" i="18"/>
  <c r="K56" i="18" s="1"/>
  <c r="H48" i="18"/>
  <c r="K48" i="18" s="1"/>
  <c r="H25" i="18"/>
  <c r="K25" i="18" s="1"/>
  <c r="H89" i="18"/>
  <c r="K89" i="18" s="1"/>
  <c r="H153" i="18"/>
  <c r="K153" i="18" s="1"/>
  <c r="H197" i="18"/>
  <c r="K197" i="18" s="1"/>
  <c r="H38" i="18"/>
  <c r="K38" i="18" s="1"/>
  <c r="H70" i="18"/>
  <c r="K70" i="18" s="1"/>
  <c r="H102" i="18"/>
  <c r="K102" i="18" s="1"/>
  <c r="H134" i="18"/>
  <c r="K134" i="18" s="1"/>
  <c r="H166" i="18"/>
  <c r="K166" i="18" s="1"/>
  <c r="H198" i="18"/>
  <c r="K198" i="18" s="1"/>
  <c r="H180" i="18"/>
  <c r="K180" i="18" s="1"/>
  <c r="H21" i="18"/>
  <c r="K21" i="18" s="1"/>
  <c r="H85" i="18"/>
  <c r="K85" i="18" s="1"/>
  <c r="H149" i="18"/>
  <c r="K149" i="18" s="1"/>
  <c r="H39" i="18"/>
  <c r="K39" i="18" s="1"/>
  <c r="H71" i="18"/>
  <c r="K71" i="18" s="1"/>
  <c r="H103" i="18"/>
  <c r="K103" i="18" s="1"/>
  <c r="H135" i="18"/>
  <c r="K135" i="18" s="1"/>
  <c r="H167" i="18"/>
  <c r="K167" i="18" s="1"/>
  <c r="H199" i="18"/>
  <c r="K199" i="18" s="1"/>
  <c r="H80" i="18"/>
  <c r="K80" i="18" s="1"/>
  <c r="H205" i="18"/>
  <c r="K205" i="18" s="1"/>
  <c r="H174" i="18"/>
  <c r="K174" i="18" s="1"/>
  <c r="H165" i="18"/>
  <c r="H143" i="18"/>
  <c r="K143" i="18" s="1"/>
  <c r="H84" i="18"/>
  <c r="K84" i="18" s="1"/>
  <c r="H146" i="18"/>
  <c r="K146" i="18" s="1"/>
  <c r="H51" i="18"/>
  <c r="K51" i="18" s="1"/>
  <c r="H116" i="18"/>
  <c r="K116" i="18" s="1"/>
  <c r="H92" i="18"/>
  <c r="K92" i="18" s="1"/>
  <c r="H72" i="18"/>
  <c r="K72" i="18" s="1"/>
  <c r="H64" i="18"/>
  <c r="K64" i="18" s="1"/>
  <c r="H33" i="18"/>
  <c r="K33" i="18" s="1"/>
  <c r="H97" i="18"/>
  <c r="K97" i="18" s="1"/>
  <c r="H161" i="18"/>
  <c r="K161" i="18" s="1"/>
  <c r="H201" i="18"/>
  <c r="K201" i="18" s="1"/>
  <c r="H42" i="18"/>
  <c r="K42" i="18" s="1"/>
  <c r="H74" i="18"/>
  <c r="K74" i="18" s="1"/>
  <c r="H106" i="18"/>
  <c r="K106" i="18" s="1"/>
  <c r="H138" i="18"/>
  <c r="K138" i="18" s="1"/>
  <c r="H170" i="18"/>
  <c r="K170" i="18" s="1"/>
  <c r="H202" i="18"/>
  <c r="K202" i="18" s="1"/>
  <c r="H184" i="18"/>
  <c r="K184" i="18" s="1"/>
  <c r="H29" i="18"/>
  <c r="K29" i="18" s="1"/>
  <c r="H93" i="18"/>
  <c r="K93" i="18" s="1"/>
  <c r="H157" i="18"/>
  <c r="K157" i="18" s="1"/>
  <c r="H43" i="18"/>
  <c r="K43" i="18" s="1"/>
  <c r="H75" i="18"/>
  <c r="K75" i="18" s="1"/>
  <c r="H107" i="18"/>
  <c r="K107" i="18" s="1"/>
  <c r="H139" i="18"/>
  <c r="K139" i="18" s="1"/>
  <c r="H171" i="18"/>
  <c r="K171" i="18" s="1"/>
  <c r="H203" i="18"/>
  <c r="K203" i="18" s="1"/>
  <c r="H20" i="18"/>
  <c r="K20" i="18" s="1"/>
  <c r="H46" i="18"/>
  <c r="K46" i="18" s="1"/>
  <c r="H188" i="18"/>
  <c r="K188" i="18" s="1"/>
  <c r="H79" i="18"/>
  <c r="K79" i="18" s="1"/>
  <c r="H104" i="18"/>
  <c r="K104" i="18" s="1"/>
  <c r="H50" i="18"/>
  <c r="K50" i="18" s="1"/>
  <c r="H192" i="18"/>
  <c r="K192" i="18" s="1"/>
  <c r="H179" i="18"/>
  <c r="K179" i="18" s="1"/>
  <c r="E13" i="29"/>
  <c r="K165" i="18" l="1"/>
  <c r="K13" i="18" s="1"/>
  <c r="G212" i="18"/>
  <c r="K14" i="18" l="1"/>
  <c r="K212" i="18"/>
  <c r="F12" i="29" l="1"/>
  <c r="M155" i="18" l="1"/>
  <c r="M36" i="18"/>
  <c r="M150" i="18"/>
  <c r="M188" i="18"/>
  <c r="M162" i="18"/>
  <c r="M30" i="18"/>
  <c r="M123" i="18"/>
  <c r="M153" i="18"/>
  <c r="M134" i="18"/>
  <c r="M209" i="18"/>
  <c r="M184" i="18"/>
  <c r="M121" i="18"/>
  <c r="M27" i="18"/>
  <c r="M128" i="18"/>
  <c r="M40" i="18"/>
  <c r="M125" i="18"/>
  <c r="M51" i="18"/>
  <c r="M41" i="18"/>
  <c r="M173" i="18"/>
  <c r="M87" i="18"/>
  <c r="M104" i="18"/>
  <c r="M154" i="18"/>
  <c r="M96" i="18"/>
  <c r="M182" i="18"/>
  <c r="M68" i="18"/>
  <c r="M164" i="18"/>
  <c r="M29" i="18"/>
  <c r="M20" i="18"/>
  <c r="M211" i="18"/>
  <c r="M62" i="18"/>
  <c r="M80" i="18"/>
  <c r="M60" i="18"/>
  <c r="M169" i="18"/>
  <c r="M135" i="18"/>
  <c r="M165" i="18"/>
  <c r="M67" i="18"/>
  <c r="M83" i="18"/>
  <c r="M25" i="18"/>
  <c r="M52" i="18"/>
  <c r="M146" i="18"/>
  <c r="M143" i="18"/>
  <c r="M141" i="18"/>
  <c r="M191" i="18"/>
  <c r="M126" i="18"/>
  <c r="M71" i="18"/>
  <c r="M186" i="18"/>
  <c r="M44" i="18"/>
  <c r="M84" i="18"/>
  <c r="M187" i="18"/>
  <c r="M106" i="18"/>
  <c r="M70" i="18"/>
  <c r="M166" i="18"/>
  <c r="M137" i="18"/>
  <c r="M202" i="18"/>
  <c r="M142" i="18"/>
  <c r="M197" i="18"/>
  <c r="M32" i="18"/>
  <c r="M103" i="18"/>
  <c r="M118" i="18"/>
  <c r="M105" i="18"/>
  <c r="M97" i="18"/>
  <c r="M193" i="18"/>
  <c r="M34" i="18"/>
  <c r="M115" i="18"/>
  <c r="M179" i="18"/>
  <c r="M177" i="18"/>
  <c r="M81" i="18"/>
  <c r="M24" i="18"/>
  <c r="M54" i="18"/>
  <c r="M204" i="18"/>
  <c r="M55" i="18"/>
  <c r="M159" i="18"/>
  <c r="M176" i="18"/>
  <c r="M59" i="18"/>
  <c r="M206" i="18"/>
  <c r="M156" i="18"/>
  <c r="M172" i="18"/>
  <c r="M57" i="18"/>
  <c r="M47" i="18"/>
  <c r="M201" i="18"/>
  <c r="M200" i="18"/>
  <c r="M167" i="18"/>
  <c r="M64" i="18"/>
  <c r="M132" i="18"/>
  <c r="M91" i="18"/>
  <c r="M210" i="18"/>
  <c r="M152" i="18"/>
  <c r="M185" i="18"/>
  <c r="M196" i="18"/>
  <c r="M124" i="18"/>
  <c r="M138" i="18"/>
  <c r="M171" i="18"/>
  <c r="M66" i="18"/>
  <c r="M46" i="18"/>
  <c r="M192" i="18"/>
  <c r="M86" i="18"/>
  <c r="M144" i="18"/>
  <c r="M31" i="18"/>
  <c r="M82" i="18"/>
  <c r="M35" i="18"/>
  <c r="M189" i="18"/>
  <c r="M75" i="18"/>
  <c r="M178" i="18"/>
  <c r="M49" i="18"/>
  <c r="M99" i="18"/>
  <c r="M145" i="18"/>
  <c r="M205" i="18"/>
  <c r="M136" i="18"/>
  <c r="M33" i="18"/>
  <c r="M122" i="18"/>
  <c r="M112" i="18"/>
  <c r="M94" i="18"/>
  <c r="M149" i="18"/>
  <c r="M48" i="18"/>
  <c r="M180" i="18"/>
  <c r="M199" i="18"/>
  <c r="M161" i="18"/>
  <c r="M50" i="18"/>
  <c r="M21" i="18"/>
  <c r="M127" i="18"/>
  <c r="M207" i="18"/>
  <c r="M78" i="18"/>
  <c r="M90" i="18"/>
  <c r="M148" i="18"/>
  <c r="M130" i="18"/>
  <c r="M53" i="18"/>
  <c r="M129" i="18"/>
  <c r="M194" i="18"/>
  <c r="M151" i="18"/>
  <c r="M37" i="18"/>
  <c r="M140" i="18"/>
  <c r="M65" i="18"/>
  <c r="M157" i="18"/>
  <c r="M98" i="18"/>
  <c r="M195" i="18"/>
  <c r="M85" i="18"/>
  <c r="M89" i="18"/>
  <c r="M23" i="18"/>
  <c r="M114" i="18"/>
  <c r="M170" i="18"/>
  <c r="M76" i="18"/>
  <c r="M174" i="18"/>
  <c r="M88" i="18"/>
  <c r="M74" i="18"/>
  <c r="M131" i="18"/>
  <c r="M101" i="18"/>
  <c r="M95" i="18"/>
  <c r="M113" i="18"/>
  <c r="M102" i="18"/>
  <c r="M175" i="18"/>
  <c r="M160" i="18"/>
  <c r="M111" i="18"/>
  <c r="M73" i="18"/>
  <c r="M69" i="18"/>
  <c r="M77" i="18"/>
  <c r="M109" i="18"/>
  <c r="M139" i="18"/>
  <c r="M100" i="18"/>
  <c r="M93" i="18"/>
  <c r="M203" i="18"/>
  <c r="M158" i="18"/>
  <c r="M198" i="18"/>
  <c r="M110" i="18"/>
  <c r="M133" i="18"/>
  <c r="M119" i="18"/>
  <c r="M79" i="18"/>
  <c r="M190" i="18"/>
  <c r="M107" i="18"/>
  <c r="M43" i="18"/>
  <c r="M26" i="18"/>
  <c r="M45" i="18"/>
  <c r="M108" i="18"/>
  <c r="M56" i="18"/>
  <c r="M168" i="18"/>
  <c r="M147" i="18"/>
  <c r="M22" i="18"/>
  <c r="M72" i="18"/>
  <c r="M183" i="18"/>
  <c r="M208" i="18"/>
  <c r="M163" i="18"/>
  <c r="M120" i="18"/>
  <c r="M58" i="18"/>
  <c r="M92" i="18"/>
  <c r="M39" i="18"/>
  <c r="M28" i="18"/>
  <c r="M117" i="18"/>
  <c r="M63" i="18"/>
  <c r="M181" i="18"/>
  <c r="M42" i="18"/>
  <c r="M61" i="18"/>
  <c r="M38" i="18"/>
  <c r="M116" i="18"/>
  <c r="M13" i="18" l="1"/>
  <c r="M212" i="18"/>
  <c r="I100" i="18" l="1"/>
  <c r="J100" i="18" s="1"/>
  <c r="L100" i="18" s="1"/>
  <c r="N100" i="18" s="1"/>
  <c r="R100" i="18" s="1"/>
  <c r="I96" i="18"/>
  <c r="J96" i="18" s="1"/>
  <c r="L96" i="18" s="1"/>
  <c r="N96" i="18" s="1"/>
  <c r="R96" i="18" s="1"/>
  <c r="I128" i="18"/>
  <c r="J128" i="18" s="1"/>
  <c r="L128" i="18" s="1"/>
  <c r="N128" i="18" s="1"/>
  <c r="R128" i="18" s="1"/>
  <c r="I103" i="18"/>
  <c r="J103" i="18" s="1"/>
  <c r="L103" i="18" s="1"/>
  <c r="N103" i="18" s="1"/>
  <c r="R103" i="18" s="1"/>
  <c r="I83" i="18"/>
  <c r="J83" i="18" s="1"/>
  <c r="L83" i="18" s="1"/>
  <c r="N83" i="18" s="1"/>
  <c r="R83" i="18" s="1"/>
  <c r="I123" i="18"/>
  <c r="J123" i="18" s="1"/>
  <c r="L123" i="18" s="1"/>
  <c r="N123" i="18" s="1"/>
  <c r="R123" i="18" s="1"/>
  <c r="I25" i="18"/>
  <c r="J25" i="18" s="1"/>
  <c r="L25" i="18" s="1"/>
  <c r="N25" i="18" s="1"/>
  <c r="R25" i="18" s="1"/>
  <c r="I118" i="18"/>
  <c r="J118" i="18" s="1"/>
  <c r="L118" i="18" s="1"/>
  <c r="N118" i="18" s="1"/>
  <c r="R118" i="18" s="1"/>
  <c r="I87" i="18"/>
  <c r="J87" i="18" s="1"/>
  <c r="L87" i="18" s="1"/>
  <c r="N87" i="18" s="1"/>
  <c r="R87" i="18" s="1"/>
  <c r="I53" i="18"/>
  <c r="J53" i="18" s="1"/>
  <c r="L53" i="18" s="1"/>
  <c r="N53" i="18" s="1"/>
  <c r="R53" i="18" s="1"/>
  <c r="I142" i="18"/>
  <c r="J142" i="18" s="1"/>
  <c r="L142" i="18" s="1"/>
  <c r="N142" i="18" s="1"/>
  <c r="R142" i="18" s="1"/>
  <c r="I149" i="18"/>
  <c r="J149" i="18" s="1"/>
  <c r="L149" i="18" s="1"/>
  <c r="N149" i="18" s="1"/>
  <c r="R149" i="18" s="1"/>
  <c r="I129" i="18"/>
  <c r="J129" i="18" s="1"/>
  <c r="L129" i="18" s="1"/>
  <c r="N129" i="18" s="1"/>
  <c r="R129" i="18" s="1"/>
  <c r="I131" i="18"/>
  <c r="J131" i="18" s="1"/>
  <c r="L131" i="18" s="1"/>
  <c r="N131" i="18" s="1"/>
  <c r="R131" i="18" s="1"/>
  <c r="I105" i="18"/>
  <c r="J105" i="18" s="1"/>
  <c r="L105" i="18" s="1"/>
  <c r="N105" i="18" s="1"/>
  <c r="R105" i="18" s="1"/>
  <c r="I36" i="18"/>
  <c r="J36" i="18" s="1"/>
  <c r="L36" i="18" s="1"/>
  <c r="N36" i="18" s="1"/>
  <c r="R36" i="18" s="1"/>
  <c r="I62" i="18"/>
  <c r="J62" i="18" s="1"/>
  <c r="L62" i="18" s="1"/>
  <c r="N62" i="18" s="1"/>
  <c r="R62" i="18" s="1"/>
  <c r="I69" i="18"/>
  <c r="J69" i="18" s="1"/>
  <c r="L69" i="18" s="1"/>
  <c r="N69" i="18" s="1"/>
  <c r="R69" i="18" s="1"/>
  <c r="I37" i="18"/>
  <c r="J37" i="18" s="1"/>
  <c r="L37" i="18" s="1"/>
  <c r="N37" i="18" s="1"/>
  <c r="R37" i="18" s="1"/>
  <c r="I182" i="18"/>
  <c r="J182" i="18" s="1"/>
  <c r="L182" i="18" s="1"/>
  <c r="N182" i="18" s="1"/>
  <c r="R182" i="18" s="1"/>
  <c r="I89" i="18"/>
  <c r="J89" i="18" s="1"/>
  <c r="L89" i="18" s="1"/>
  <c r="N89" i="18" s="1"/>
  <c r="R89" i="18" s="1"/>
  <c r="I64" i="18"/>
  <c r="J64" i="18" s="1"/>
  <c r="L64" i="18" s="1"/>
  <c r="N64" i="18" s="1"/>
  <c r="R64" i="18" s="1"/>
  <c r="I28" i="18"/>
  <c r="J28" i="18" s="1"/>
  <c r="L28" i="18" s="1"/>
  <c r="N28" i="18" s="1"/>
  <c r="R28" i="18" s="1"/>
  <c r="I170" i="18"/>
  <c r="J170" i="18" s="1"/>
  <c r="L170" i="18" s="1"/>
  <c r="N170" i="18" s="1"/>
  <c r="R170" i="18" s="1"/>
  <c r="I146" i="18"/>
  <c r="J146" i="18" s="1"/>
  <c r="L146" i="18" s="1"/>
  <c r="N146" i="18" s="1"/>
  <c r="R146" i="18" s="1"/>
  <c r="I198" i="18"/>
  <c r="J198" i="18" s="1"/>
  <c r="L198" i="18" s="1"/>
  <c r="N198" i="18" s="1"/>
  <c r="R198" i="18" s="1"/>
  <c r="I187" i="18"/>
  <c r="J187" i="18" s="1"/>
  <c r="L187" i="18" s="1"/>
  <c r="N187" i="18" s="1"/>
  <c r="R187" i="18" s="1"/>
  <c r="I111" i="18"/>
  <c r="J111" i="18" s="1"/>
  <c r="L111" i="18" s="1"/>
  <c r="N111" i="18" s="1"/>
  <c r="R111" i="18" s="1"/>
  <c r="I32" i="18"/>
  <c r="J32" i="18" s="1"/>
  <c r="L32" i="18" s="1"/>
  <c r="N32" i="18" s="1"/>
  <c r="R32" i="18" s="1"/>
  <c r="I114" i="18"/>
  <c r="J114" i="18" s="1"/>
  <c r="L114" i="18" s="1"/>
  <c r="N114" i="18" s="1"/>
  <c r="R114" i="18" s="1"/>
  <c r="I39" i="18"/>
  <c r="J39" i="18" s="1"/>
  <c r="L39" i="18" s="1"/>
  <c r="N39" i="18" s="1"/>
  <c r="R39" i="18" s="1"/>
  <c r="I203" i="18"/>
  <c r="J203" i="18" s="1"/>
  <c r="L203" i="18" s="1"/>
  <c r="N203" i="18" s="1"/>
  <c r="R203" i="18" s="1"/>
  <c r="I68" i="18"/>
  <c r="J68" i="18" s="1"/>
  <c r="L68" i="18" s="1"/>
  <c r="N68" i="18" s="1"/>
  <c r="R68" i="18" s="1"/>
  <c r="I151" i="18"/>
  <c r="J151" i="18" s="1"/>
  <c r="L151" i="18" s="1"/>
  <c r="N151" i="18" s="1"/>
  <c r="R151" i="18" s="1"/>
  <c r="I95" i="18"/>
  <c r="J95" i="18" s="1"/>
  <c r="L95" i="18" s="1"/>
  <c r="N95" i="18" s="1"/>
  <c r="R95" i="18" s="1"/>
  <c r="I60" i="18"/>
  <c r="J60" i="18" s="1"/>
  <c r="L60" i="18" s="1"/>
  <c r="N60" i="18" s="1"/>
  <c r="R60" i="18" s="1"/>
  <c r="I179" i="18"/>
  <c r="J179" i="18" s="1"/>
  <c r="L179" i="18" s="1"/>
  <c r="N179" i="18" s="1"/>
  <c r="R179" i="18" s="1"/>
  <c r="I50" i="18"/>
  <c r="J50" i="18" s="1"/>
  <c r="L50" i="18" s="1"/>
  <c r="N50" i="18" s="1"/>
  <c r="R50" i="18" s="1"/>
  <c r="I58" i="18"/>
  <c r="J58" i="18" s="1"/>
  <c r="L58" i="18" s="1"/>
  <c r="N58" i="18" s="1"/>
  <c r="R58" i="18" s="1"/>
  <c r="I160" i="18"/>
  <c r="J160" i="18" s="1"/>
  <c r="L160" i="18" s="1"/>
  <c r="N160" i="18" s="1"/>
  <c r="R160" i="18" s="1"/>
  <c r="I106" i="18"/>
  <c r="J106" i="18" s="1"/>
  <c r="L106" i="18" s="1"/>
  <c r="N106" i="18" s="1"/>
  <c r="R106" i="18" s="1"/>
  <c r="I57" i="18"/>
  <c r="J57" i="18" s="1"/>
  <c r="L57" i="18" s="1"/>
  <c r="N57" i="18" s="1"/>
  <c r="R57" i="18" s="1"/>
  <c r="I155" i="18"/>
  <c r="J155" i="18" s="1"/>
  <c r="L155" i="18" s="1"/>
  <c r="N155" i="18" s="1"/>
  <c r="R155" i="18" s="1"/>
  <c r="I79" i="18"/>
  <c r="J79" i="18" s="1"/>
  <c r="L79" i="18" s="1"/>
  <c r="N79" i="18" s="1"/>
  <c r="R79" i="18" s="1"/>
  <c r="I135" i="18"/>
  <c r="J135" i="18" s="1"/>
  <c r="L135" i="18" s="1"/>
  <c r="N135" i="18" s="1"/>
  <c r="R135" i="18" s="1"/>
  <c r="I164" i="18"/>
  <c r="J164" i="18" s="1"/>
  <c r="L164" i="18" s="1"/>
  <c r="N164" i="18" s="1"/>
  <c r="R164" i="18" s="1"/>
  <c r="I136" i="18"/>
  <c r="J136" i="18" s="1"/>
  <c r="L136" i="18" s="1"/>
  <c r="N136" i="18" s="1"/>
  <c r="R136" i="18" s="1"/>
  <c r="I192" i="18"/>
  <c r="J192" i="18" s="1"/>
  <c r="L192" i="18" s="1"/>
  <c r="N192" i="18" s="1"/>
  <c r="R192" i="18" s="1"/>
  <c r="I55" i="18"/>
  <c r="J55" i="18" s="1"/>
  <c r="L55" i="18" s="1"/>
  <c r="N55" i="18" s="1"/>
  <c r="R55" i="18" s="1"/>
  <c r="I125" i="18"/>
  <c r="J125" i="18" s="1"/>
  <c r="L125" i="18" s="1"/>
  <c r="N125" i="18" s="1"/>
  <c r="R125" i="18" s="1"/>
  <c r="I145" i="18"/>
  <c r="J145" i="18" s="1"/>
  <c r="L145" i="18" s="1"/>
  <c r="N145" i="18" s="1"/>
  <c r="R145" i="18" s="1"/>
  <c r="I92" i="18"/>
  <c r="J92" i="18" s="1"/>
  <c r="L92" i="18" s="1"/>
  <c r="N92" i="18" s="1"/>
  <c r="R92" i="18" s="1"/>
  <c r="I91" i="18"/>
  <c r="J91" i="18" s="1"/>
  <c r="L91" i="18" s="1"/>
  <c r="N91" i="18" s="1"/>
  <c r="R91" i="18" s="1"/>
  <c r="I169" i="18"/>
  <c r="J169" i="18" s="1"/>
  <c r="L169" i="18" s="1"/>
  <c r="N169" i="18" s="1"/>
  <c r="R169" i="18" s="1"/>
  <c r="I23" i="18"/>
  <c r="J23" i="18" s="1"/>
  <c r="L23" i="18" s="1"/>
  <c r="N23" i="18" s="1"/>
  <c r="R23" i="18" s="1"/>
  <c r="I107" i="18"/>
  <c r="J107" i="18" s="1"/>
  <c r="L107" i="18" s="1"/>
  <c r="N107" i="18" s="1"/>
  <c r="R107" i="18" s="1"/>
  <c r="I199" i="18"/>
  <c r="J199" i="18" s="1"/>
  <c r="L199" i="18" s="1"/>
  <c r="N199" i="18" s="1"/>
  <c r="R199" i="18" s="1"/>
  <c r="I205" i="18"/>
  <c r="J205" i="18" s="1"/>
  <c r="L205" i="18" s="1"/>
  <c r="N205" i="18" s="1"/>
  <c r="R205" i="18" s="1"/>
  <c r="I167" i="18"/>
  <c r="J167" i="18" s="1"/>
  <c r="L167" i="18" s="1"/>
  <c r="N167" i="18" s="1"/>
  <c r="R167" i="18" s="1"/>
  <c r="I126" i="18"/>
  <c r="J126" i="18" s="1"/>
  <c r="L126" i="18" s="1"/>
  <c r="N126" i="18" s="1"/>
  <c r="R126" i="18" s="1"/>
  <c r="I159" i="18"/>
  <c r="J159" i="18" s="1"/>
  <c r="L159" i="18" s="1"/>
  <c r="N159" i="18" s="1"/>
  <c r="R159" i="18" s="1"/>
  <c r="I200" i="18"/>
  <c r="J200" i="18" s="1"/>
  <c r="L200" i="18" s="1"/>
  <c r="N200" i="18" s="1"/>
  <c r="R200" i="18" s="1"/>
  <c r="I80" i="18"/>
  <c r="J80" i="18" s="1"/>
  <c r="L80" i="18" s="1"/>
  <c r="N80" i="18" s="1"/>
  <c r="R80" i="18" s="1"/>
  <c r="I206" i="18"/>
  <c r="J206" i="18" s="1"/>
  <c r="L206" i="18" s="1"/>
  <c r="N206" i="18" s="1"/>
  <c r="R206" i="18" s="1"/>
  <c r="I33" i="18"/>
  <c r="J33" i="18" s="1"/>
  <c r="L33" i="18" s="1"/>
  <c r="N33" i="18" s="1"/>
  <c r="R33" i="18" s="1"/>
  <c r="I134" i="18"/>
  <c r="J134" i="18" s="1"/>
  <c r="L134" i="18" s="1"/>
  <c r="N134" i="18" s="1"/>
  <c r="R134" i="18" s="1"/>
  <c r="I194" i="18"/>
  <c r="J194" i="18" s="1"/>
  <c r="L194" i="18" s="1"/>
  <c r="N194" i="18" s="1"/>
  <c r="R194" i="18" s="1"/>
  <c r="I98" i="18"/>
  <c r="J98" i="18" s="1"/>
  <c r="L98" i="18" s="1"/>
  <c r="N98" i="18" s="1"/>
  <c r="R98" i="18" s="1"/>
  <c r="I31" i="18"/>
  <c r="J31" i="18" s="1"/>
  <c r="L31" i="18" s="1"/>
  <c r="N31" i="18" s="1"/>
  <c r="R31" i="18" s="1"/>
  <c r="I196" i="18"/>
  <c r="J196" i="18" s="1"/>
  <c r="L196" i="18" s="1"/>
  <c r="N196" i="18" s="1"/>
  <c r="R196" i="18" s="1"/>
  <c r="I132" i="18"/>
  <c r="J132" i="18" s="1"/>
  <c r="L132" i="18" s="1"/>
  <c r="N132" i="18" s="1"/>
  <c r="R132" i="18" s="1"/>
  <c r="I208" i="18"/>
  <c r="J208" i="18" s="1"/>
  <c r="L208" i="18" s="1"/>
  <c r="N208" i="18" s="1"/>
  <c r="R208" i="18" s="1"/>
  <c r="I197" i="18"/>
  <c r="J197" i="18" s="1"/>
  <c r="L197" i="18" s="1"/>
  <c r="N197" i="18" s="1"/>
  <c r="R197" i="18" s="1"/>
  <c r="I189" i="18"/>
  <c r="J189" i="18" s="1"/>
  <c r="L189" i="18" s="1"/>
  <c r="N189" i="18" s="1"/>
  <c r="R189" i="18" s="1"/>
  <c r="I97" i="18"/>
  <c r="J97" i="18" s="1"/>
  <c r="L97" i="18" s="1"/>
  <c r="N97" i="18" s="1"/>
  <c r="R97" i="18" s="1"/>
  <c r="I52" i="18"/>
  <c r="J52" i="18" s="1"/>
  <c r="L52" i="18" s="1"/>
  <c r="N52" i="18" s="1"/>
  <c r="R52" i="18" s="1"/>
  <c r="I119" i="18"/>
  <c r="J119" i="18" s="1"/>
  <c r="L119" i="18" s="1"/>
  <c r="N119" i="18" s="1"/>
  <c r="R119" i="18" s="1"/>
  <c r="I210" i="18"/>
  <c r="J210" i="18" s="1"/>
  <c r="L210" i="18" s="1"/>
  <c r="N210" i="18" s="1"/>
  <c r="R210" i="18" s="1"/>
  <c r="I122" i="18"/>
  <c r="J122" i="18" s="1"/>
  <c r="L122" i="18" s="1"/>
  <c r="N122" i="18" s="1"/>
  <c r="R122" i="18" s="1"/>
  <c r="I49" i="18"/>
  <c r="J49" i="18" s="1"/>
  <c r="L49" i="18" s="1"/>
  <c r="N49" i="18" s="1"/>
  <c r="R49" i="18" s="1"/>
  <c r="I90" i="18"/>
  <c r="J90" i="18" s="1"/>
  <c r="L90" i="18" s="1"/>
  <c r="N90" i="18" s="1"/>
  <c r="R90" i="18" s="1"/>
  <c r="I130" i="18"/>
  <c r="J130" i="18" s="1"/>
  <c r="L130" i="18" s="1"/>
  <c r="N130" i="18" s="1"/>
  <c r="R130" i="18" s="1"/>
  <c r="I161" i="18"/>
  <c r="J161" i="18" s="1"/>
  <c r="L161" i="18" s="1"/>
  <c r="N161" i="18" s="1"/>
  <c r="R161" i="18" s="1"/>
  <c r="I195" i="18"/>
  <c r="J195" i="18" s="1"/>
  <c r="L195" i="18" s="1"/>
  <c r="N195" i="18" s="1"/>
  <c r="R195" i="18" s="1"/>
  <c r="I88" i="18"/>
  <c r="J88" i="18" s="1"/>
  <c r="L88" i="18" s="1"/>
  <c r="N88" i="18" s="1"/>
  <c r="R88" i="18" s="1"/>
  <c r="I29" i="18"/>
  <c r="J29" i="18" s="1"/>
  <c r="L29" i="18" s="1"/>
  <c r="N29" i="18" s="1"/>
  <c r="R29" i="18" s="1"/>
  <c r="I177" i="18"/>
  <c r="J177" i="18" s="1"/>
  <c r="L177" i="18" s="1"/>
  <c r="N177" i="18" s="1"/>
  <c r="R177" i="18" s="1"/>
  <c r="I73" i="18"/>
  <c r="J73" i="18" s="1"/>
  <c r="L73" i="18" s="1"/>
  <c r="N73" i="18" s="1"/>
  <c r="R73" i="18" s="1"/>
  <c r="I207" i="18"/>
  <c r="J207" i="18" s="1"/>
  <c r="L207" i="18" s="1"/>
  <c r="N207" i="18" s="1"/>
  <c r="R207" i="18" s="1"/>
  <c r="I158" i="18"/>
  <c r="J158" i="18" s="1"/>
  <c r="L158" i="18" s="1"/>
  <c r="N158" i="18" s="1"/>
  <c r="R158" i="18" s="1"/>
  <c r="I184" i="18"/>
  <c r="J184" i="18" s="1"/>
  <c r="L184" i="18" s="1"/>
  <c r="N184" i="18" s="1"/>
  <c r="R184" i="18" s="1"/>
  <c r="I46" i="18"/>
  <c r="J46" i="18" s="1"/>
  <c r="L46" i="18" s="1"/>
  <c r="N46" i="18" s="1"/>
  <c r="R46" i="18" s="1"/>
  <c r="I70" i="18"/>
  <c r="J70" i="18" s="1"/>
  <c r="L70" i="18" s="1"/>
  <c r="N70" i="18" s="1"/>
  <c r="R70" i="18" s="1"/>
  <c r="I78" i="18"/>
  <c r="J78" i="18" s="1"/>
  <c r="L78" i="18" s="1"/>
  <c r="N78" i="18" s="1"/>
  <c r="R78" i="18" s="1"/>
  <c r="I166" i="18"/>
  <c r="J166" i="18" s="1"/>
  <c r="L166" i="18" s="1"/>
  <c r="N166" i="18" s="1"/>
  <c r="R166" i="18" s="1"/>
  <c r="I45" i="18"/>
  <c r="J45" i="18" s="1"/>
  <c r="L45" i="18" s="1"/>
  <c r="N45" i="18" s="1"/>
  <c r="R45" i="18" s="1"/>
  <c r="I176" i="18"/>
  <c r="J176" i="18" s="1"/>
  <c r="L176" i="18" s="1"/>
  <c r="N176" i="18" s="1"/>
  <c r="R176" i="18" s="1"/>
  <c r="I211" i="18"/>
  <c r="J211" i="18" s="1"/>
  <c r="L211" i="18" s="1"/>
  <c r="N211" i="18" s="1"/>
  <c r="R211" i="18" s="1"/>
  <c r="I186" i="18"/>
  <c r="J186" i="18" s="1"/>
  <c r="L186" i="18" s="1"/>
  <c r="N186" i="18" s="1"/>
  <c r="R186" i="18" s="1"/>
  <c r="I41" i="18"/>
  <c r="J41" i="18" s="1"/>
  <c r="L41" i="18" s="1"/>
  <c r="N41" i="18" s="1"/>
  <c r="R41" i="18" s="1"/>
  <c r="I51" i="18"/>
  <c r="J51" i="18" s="1"/>
  <c r="L51" i="18" s="1"/>
  <c r="N51" i="18" s="1"/>
  <c r="R51" i="18" s="1"/>
  <c r="I165" i="18"/>
  <c r="J165" i="18" s="1"/>
  <c r="L165" i="18" s="1"/>
  <c r="N165" i="18" s="1"/>
  <c r="R165" i="18" s="1"/>
  <c r="I65" i="18"/>
  <c r="J65" i="18" s="1"/>
  <c r="L65" i="18" s="1"/>
  <c r="N65" i="18" s="1"/>
  <c r="R65" i="18" s="1"/>
  <c r="I86" i="18"/>
  <c r="J86" i="18" s="1"/>
  <c r="L86" i="18" s="1"/>
  <c r="N86" i="18" s="1"/>
  <c r="R86" i="18" s="1"/>
  <c r="I59" i="18"/>
  <c r="J59" i="18" s="1"/>
  <c r="L59" i="18" s="1"/>
  <c r="N59" i="18" s="1"/>
  <c r="R59" i="18" s="1"/>
  <c r="I76" i="18"/>
  <c r="J76" i="18" s="1"/>
  <c r="L76" i="18" s="1"/>
  <c r="N76" i="18" s="1"/>
  <c r="R76" i="18" s="1"/>
  <c r="I172" i="18"/>
  <c r="J172" i="18" s="1"/>
  <c r="L172" i="18" s="1"/>
  <c r="N172" i="18" s="1"/>
  <c r="R172" i="18" s="1"/>
  <c r="I77" i="18"/>
  <c r="J77" i="18" s="1"/>
  <c r="L77" i="18" s="1"/>
  <c r="N77" i="18" s="1"/>
  <c r="R77" i="18" s="1"/>
  <c r="I185" i="18"/>
  <c r="J185" i="18" s="1"/>
  <c r="L185" i="18" s="1"/>
  <c r="N185" i="18" s="1"/>
  <c r="R185" i="18" s="1"/>
  <c r="I61" i="18"/>
  <c r="J61" i="18" s="1"/>
  <c r="L61" i="18" s="1"/>
  <c r="N61" i="18" s="1"/>
  <c r="R61" i="18" s="1"/>
  <c r="F14" i="29"/>
  <c r="I42" i="18"/>
  <c r="J42" i="18" s="1"/>
  <c r="L42" i="18" s="1"/>
  <c r="N42" i="18" s="1"/>
  <c r="R42" i="18" s="1"/>
  <c r="I22" i="18"/>
  <c r="J22" i="18" s="1"/>
  <c r="L22" i="18" s="1"/>
  <c r="N22" i="18" s="1"/>
  <c r="R22" i="18" s="1"/>
  <c r="I85" i="18"/>
  <c r="J85" i="18" s="1"/>
  <c r="L85" i="18" s="1"/>
  <c r="N85" i="18" s="1"/>
  <c r="R85" i="18" s="1"/>
  <c r="I152" i="18"/>
  <c r="J152" i="18" s="1"/>
  <c r="L152" i="18" s="1"/>
  <c r="N152" i="18" s="1"/>
  <c r="R152" i="18" s="1"/>
  <c r="I67" i="18"/>
  <c r="J67" i="18" s="1"/>
  <c r="L67" i="18" s="1"/>
  <c r="N67" i="18" s="1"/>
  <c r="R67" i="18" s="1"/>
  <c r="I190" i="18"/>
  <c r="J190" i="18" s="1"/>
  <c r="L190" i="18" s="1"/>
  <c r="N190" i="18" s="1"/>
  <c r="R190" i="18" s="1"/>
  <c r="I101" i="18"/>
  <c r="J101" i="18" s="1"/>
  <c r="L101" i="18" s="1"/>
  <c r="N101" i="18" s="1"/>
  <c r="R101" i="18" s="1"/>
  <c r="I178" i="18"/>
  <c r="J178" i="18" s="1"/>
  <c r="L178" i="18" s="1"/>
  <c r="N178" i="18" s="1"/>
  <c r="R178" i="18" s="1"/>
  <c r="I82" i="18"/>
  <c r="J82" i="18" s="1"/>
  <c r="L82" i="18" s="1"/>
  <c r="N82" i="18" s="1"/>
  <c r="R82" i="18" s="1"/>
  <c r="I26" i="18"/>
  <c r="J26" i="18" s="1"/>
  <c r="L26" i="18" s="1"/>
  <c r="N26" i="18" s="1"/>
  <c r="R26" i="18" s="1"/>
  <c r="I163" i="18"/>
  <c r="J163" i="18" s="1"/>
  <c r="L163" i="18" s="1"/>
  <c r="N163" i="18" s="1"/>
  <c r="R163" i="18" s="1"/>
  <c r="I153" i="18"/>
  <c r="J153" i="18" s="1"/>
  <c r="L153" i="18" s="1"/>
  <c r="N153" i="18" s="1"/>
  <c r="R153" i="18" s="1"/>
  <c r="I174" i="18"/>
  <c r="J174" i="18" s="1"/>
  <c r="L174" i="18" s="1"/>
  <c r="N174" i="18" s="1"/>
  <c r="R174" i="18" s="1"/>
  <c r="I157" i="18"/>
  <c r="J157" i="18" s="1"/>
  <c r="L157" i="18" s="1"/>
  <c r="N157" i="18" s="1"/>
  <c r="R157" i="18" s="1"/>
  <c r="I171" i="18"/>
  <c r="J171" i="18" s="1"/>
  <c r="L171" i="18" s="1"/>
  <c r="N171" i="18" s="1"/>
  <c r="R171" i="18" s="1"/>
  <c r="I173" i="18"/>
  <c r="J173" i="18" s="1"/>
  <c r="L173" i="18" s="1"/>
  <c r="N173" i="18" s="1"/>
  <c r="R173" i="18" s="1"/>
  <c r="I113" i="18"/>
  <c r="J113" i="18" s="1"/>
  <c r="L113" i="18" s="1"/>
  <c r="N113" i="18" s="1"/>
  <c r="R113" i="18" s="1"/>
  <c r="I133" i="18"/>
  <c r="J133" i="18" s="1"/>
  <c r="L133" i="18" s="1"/>
  <c r="N133" i="18" s="1"/>
  <c r="R133" i="18" s="1"/>
  <c r="I43" i="18"/>
  <c r="J43" i="18" s="1"/>
  <c r="L43" i="18" s="1"/>
  <c r="N43" i="18" s="1"/>
  <c r="R43" i="18" s="1"/>
  <c r="I143" i="18"/>
  <c r="J143" i="18" s="1"/>
  <c r="L143" i="18" s="1"/>
  <c r="N143" i="18" s="1"/>
  <c r="R143" i="18" s="1"/>
  <c r="I27" i="18"/>
  <c r="J27" i="18" s="1"/>
  <c r="L27" i="18" s="1"/>
  <c r="N27" i="18" s="1"/>
  <c r="R27" i="18" s="1"/>
  <c r="I168" i="18"/>
  <c r="J168" i="18" s="1"/>
  <c r="L168" i="18" s="1"/>
  <c r="N168" i="18" s="1"/>
  <c r="R168" i="18" s="1"/>
  <c r="I116" i="18"/>
  <c r="J116" i="18" s="1"/>
  <c r="L116" i="18" s="1"/>
  <c r="N116" i="18" s="1"/>
  <c r="R116" i="18" s="1"/>
  <c r="I121" i="18"/>
  <c r="J121" i="18" s="1"/>
  <c r="L121" i="18" s="1"/>
  <c r="N121" i="18" s="1"/>
  <c r="R121" i="18" s="1"/>
  <c r="I112" i="18"/>
  <c r="J112" i="18" s="1"/>
  <c r="L112" i="18" s="1"/>
  <c r="N112" i="18" s="1"/>
  <c r="R112" i="18" s="1"/>
  <c r="I202" i="18"/>
  <c r="J202" i="18" s="1"/>
  <c r="L202" i="18" s="1"/>
  <c r="N202" i="18" s="1"/>
  <c r="R202" i="18" s="1"/>
  <c r="I44" i="18"/>
  <c r="J44" i="18" s="1"/>
  <c r="L44" i="18" s="1"/>
  <c r="N44" i="18" s="1"/>
  <c r="R44" i="18" s="1"/>
  <c r="I56" i="18"/>
  <c r="J56" i="18" s="1"/>
  <c r="I115" i="18"/>
  <c r="J115" i="18" s="1"/>
  <c r="L115" i="18" s="1"/>
  <c r="N115" i="18" s="1"/>
  <c r="R115" i="18" s="1"/>
  <c r="I40" i="18"/>
  <c r="J40" i="18" s="1"/>
  <c r="L40" i="18" s="1"/>
  <c r="N40" i="18" s="1"/>
  <c r="R40" i="18" s="1"/>
  <c r="I150" i="18"/>
  <c r="J150" i="18" s="1"/>
  <c r="L150" i="18" s="1"/>
  <c r="N150" i="18" s="1"/>
  <c r="R150" i="18" s="1"/>
  <c r="I75" i="18"/>
  <c r="J75" i="18" s="1"/>
  <c r="L75" i="18" s="1"/>
  <c r="N75" i="18" s="1"/>
  <c r="R75" i="18" s="1"/>
  <c r="I48" i="18"/>
  <c r="J48" i="18" s="1"/>
  <c r="L48" i="18" s="1"/>
  <c r="N48" i="18" s="1"/>
  <c r="R48" i="18" s="1"/>
  <c r="I99" i="18"/>
  <c r="J99" i="18" s="1"/>
  <c r="L99" i="18" s="1"/>
  <c r="N99" i="18" s="1"/>
  <c r="R99" i="18" s="1"/>
  <c r="I72" i="18"/>
  <c r="J72" i="18" s="1"/>
  <c r="L72" i="18" s="1"/>
  <c r="N72" i="18" s="1"/>
  <c r="R72" i="18" s="1"/>
  <c r="I104" i="18"/>
  <c r="J104" i="18" s="1"/>
  <c r="L104" i="18" s="1"/>
  <c r="N104" i="18" s="1"/>
  <c r="R104" i="18" s="1"/>
  <c r="I144" i="18"/>
  <c r="J144" i="18" s="1"/>
  <c r="L144" i="18" s="1"/>
  <c r="N144" i="18" s="1"/>
  <c r="R144" i="18" s="1"/>
  <c r="I124" i="18"/>
  <c r="J124" i="18" s="1"/>
  <c r="L124" i="18" s="1"/>
  <c r="N124" i="18" s="1"/>
  <c r="R124" i="18" s="1"/>
  <c r="I47" i="18"/>
  <c r="J47" i="18" s="1"/>
  <c r="L47" i="18" s="1"/>
  <c r="N47" i="18" s="1"/>
  <c r="R47" i="18" s="1"/>
  <c r="I139" i="18"/>
  <c r="J139" i="18" s="1"/>
  <c r="L139" i="18" s="1"/>
  <c r="N139" i="18" s="1"/>
  <c r="R139" i="18" s="1"/>
  <c r="I193" i="18"/>
  <c r="J193" i="18" s="1"/>
  <c r="L193" i="18" s="1"/>
  <c r="N193" i="18" s="1"/>
  <c r="R193" i="18" s="1"/>
  <c r="I175" i="18"/>
  <c r="J175" i="18" s="1"/>
  <c r="L175" i="18" s="1"/>
  <c r="N175" i="18" s="1"/>
  <c r="R175" i="18" s="1"/>
  <c r="I188" i="18"/>
  <c r="J188" i="18" s="1"/>
  <c r="L188" i="18" s="1"/>
  <c r="N188" i="18" s="1"/>
  <c r="R188" i="18" s="1"/>
  <c r="I154" i="18"/>
  <c r="J154" i="18" s="1"/>
  <c r="L154" i="18" s="1"/>
  <c r="N154" i="18" s="1"/>
  <c r="R154" i="18" s="1"/>
  <c r="I81" i="18"/>
  <c r="J81" i="18" s="1"/>
  <c r="L81" i="18" s="1"/>
  <c r="N81" i="18" s="1"/>
  <c r="R81" i="18" s="1"/>
  <c r="I140" i="18"/>
  <c r="J140" i="18" s="1"/>
  <c r="L140" i="18" s="1"/>
  <c r="N140" i="18" s="1"/>
  <c r="R140" i="18" s="1"/>
  <c r="I191" i="18"/>
  <c r="J191" i="18" s="1"/>
  <c r="L191" i="18" s="1"/>
  <c r="N191" i="18" s="1"/>
  <c r="R191" i="18" s="1"/>
  <c r="I94" i="18"/>
  <c r="J94" i="18" s="1"/>
  <c r="L94" i="18" s="1"/>
  <c r="N94" i="18" s="1"/>
  <c r="R94" i="18" s="1"/>
  <c r="I120" i="18"/>
  <c r="J120" i="18" s="1"/>
  <c r="L120" i="18" s="1"/>
  <c r="N120" i="18" s="1"/>
  <c r="R120" i="18" s="1"/>
  <c r="I71" i="18"/>
  <c r="J71" i="18" s="1"/>
  <c r="L71" i="18" s="1"/>
  <c r="N71" i="18" s="1"/>
  <c r="R71" i="18" s="1"/>
  <c r="I138" i="18"/>
  <c r="J138" i="18" s="1"/>
  <c r="L138" i="18" s="1"/>
  <c r="N138" i="18" s="1"/>
  <c r="R138" i="18" s="1"/>
  <c r="I108" i="18"/>
  <c r="J108" i="18" s="1"/>
  <c r="L108" i="18" s="1"/>
  <c r="N108" i="18" s="1"/>
  <c r="R108" i="18" s="1"/>
  <c r="I162" i="18"/>
  <c r="J162" i="18" s="1"/>
  <c r="L162" i="18" s="1"/>
  <c r="N162" i="18" s="1"/>
  <c r="R162" i="18" s="1"/>
  <c r="I74" i="18"/>
  <c r="J74" i="18" s="1"/>
  <c r="L74" i="18" s="1"/>
  <c r="N74" i="18" s="1"/>
  <c r="R74" i="18" s="1"/>
  <c r="I180" i="18"/>
  <c r="J180" i="18" s="1"/>
  <c r="L180" i="18" s="1"/>
  <c r="N180" i="18" s="1"/>
  <c r="R180" i="18" s="1"/>
  <c r="I127" i="18"/>
  <c r="J127" i="18" s="1"/>
  <c r="L127" i="18" s="1"/>
  <c r="N127" i="18" s="1"/>
  <c r="R127" i="18" s="1"/>
  <c r="I24" i="18"/>
  <c r="J24" i="18" s="1"/>
  <c r="L24" i="18" s="1"/>
  <c r="N24" i="18" s="1"/>
  <c r="R24" i="18" s="1"/>
  <c r="I137" i="18"/>
  <c r="J137" i="18" s="1"/>
  <c r="L137" i="18" s="1"/>
  <c r="N137" i="18" s="1"/>
  <c r="R137" i="18" s="1"/>
  <c r="I34" i="18"/>
  <c r="J34" i="18" s="1"/>
  <c r="L34" i="18" s="1"/>
  <c r="N34" i="18" s="1"/>
  <c r="R34" i="18" s="1"/>
  <c r="I110" i="18"/>
  <c r="J110" i="18" s="1"/>
  <c r="L110" i="18" s="1"/>
  <c r="N110" i="18" s="1"/>
  <c r="R110" i="18" s="1"/>
  <c r="I30" i="18"/>
  <c r="J30" i="18" s="1"/>
  <c r="L30" i="18" s="1"/>
  <c r="N30" i="18" s="1"/>
  <c r="R30" i="18" s="1"/>
  <c r="I181" i="18"/>
  <c r="J181" i="18" s="1"/>
  <c r="L181" i="18" s="1"/>
  <c r="N181" i="18" s="1"/>
  <c r="R181" i="18" s="1"/>
  <c r="I117" i="18"/>
  <c r="J117" i="18" s="1"/>
  <c r="L117" i="18" s="1"/>
  <c r="N117" i="18" s="1"/>
  <c r="R117" i="18" s="1"/>
  <c r="I141" i="18"/>
  <c r="J141" i="18" s="1"/>
  <c r="L141" i="18" s="1"/>
  <c r="N141" i="18" s="1"/>
  <c r="R141" i="18" s="1"/>
  <c r="I109" i="18"/>
  <c r="J109" i="18" s="1"/>
  <c r="L109" i="18" s="1"/>
  <c r="N109" i="18" s="1"/>
  <c r="R109" i="18" s="1"/>
  <c r="I148" i="18"/>
  <c r="J148" i="18" s="1"/>
  <c r="L148" i="18" s="1"/>
  <c r="N148" i="18" s="1"/>
  <c r="R148" i="18" s="1"/>
  <c r="I63" i="18"/>
  <c r="J63" i="18" s="1"/>
  <c r="L63" i="18" s="1"/>
  <c r="N63" i="18" s="1"/>
  <c r="R63" i="18" s="1"/>
  <c r="I201" i="18"/>
  <c r="J201" i="18" s="1"/>
  <c r="L201" i="18" s="1"/>
  <c r="N201" i="18" s="1"/>
  <c r="R201" i="18" s="1"/>
  <c r="I35" i="18"/>
  <c r="J35" i="18" s="1"/>
  <c r="L35" i="18" s="1"/>
  <c r="N35" i="18" s="1"/>
  <c r="R35" i="18" s="1"/>
  <c r="I38" i="18"/>
  <c r="J38" i="18" s="1"/>
  <c r="L38" i="18" s="1"/>
  <c r="N38" i="18" s="1"/>
  <c r="R38" i="18" s="1"/>
  <c r="I147" i="18"/>
  <c r="J147" i="18" s="1"/>
  <c r="L147" i="18" s="1"/>
  <c r="N147" i="18" s="1"/>
  <c r="R147" i="18" s="1"/>
  <c r="I156" i="18"/>
  <c r="J156" i="18" s="1"/>
  <c r="L156" i="18" s="1"/>
  <c r="N156" i="18" s="1"/>
  <c r="R156" i="18" s="1"/>
  <c r="I204" i="18"/>
  <c r="J204" i="18" s="1"/>
  <c r="L204" i="18" s="1"/>
  <c r="N204" i="18" s="1"/>
  <c r="R204" i="18" s="1"/>
  <c r="I102" i="18"/>
  <c r="J102" i="18" s="1"/>
  <c r="L102" i="18" s="1"/>
  <c r="N102" i="18" s="1"/>
  <c r="R102" i="18" s="1"/>
  <c r="I66" i="18"/>
  <c r="J66" i="18" s="1"/>
  <c r="L66" i="18" s="1"/>
  <c r="N66" i="18" s="1"/>
  <c r="R66" i="18" s="1"/>
  <c r="I183" i="18"/>
  <c r="J183" i="18" s="1"/>
  <c r="L183" i="18" s="1"/>
  <c r="N183" i="18" s="1"/>
  <c r="R183" i="18" s="1"/>
  <c r="I209" i="18"/>
  <c r="J209" i="18" s="1"/>
  <c r="L209" i="18" s="1"/>
  <c r="N209" i="18" s="1"/>
  <c r="R209" i="18" s="1"/>
  <c r="I84" i="18"/>
  <c r="J84" i="18" s="1"/>
  <c r="L84" i="18" s="1"/>
  <c r="N84" i="18" s="1"/>
  <c r="R84" i="18" s="1"/>
  <c r="I93" i="18"/>
  <c r="J93" i="18" s="1"/>
  <c r="L93" i="18" s="1"/>
  <c r="N93" i="18" s="1"/>
  <c r="R93" i="18" s="1"/>
  <c r="I20" i="18"/>
  <c r="J20" i="18" s="1"/>
  <c r="I54" i="18"/>
  <c r="J54" i="18" s="1"/>
  <c r="L54" i="18" s="1"/>
  <c r="N54" i="18" s="1"/>
  <c r="R54" i="18" s="1"/>
  <c r="I21" i="18"/>
  <c r="J21" i="18" s="1"/>
  <c r="L21" i="18" s="1"/>
  <c r="N21" i="18" s="1"/>
  <c r="R21" i="18" s="1"/>
  <c r="J14" i="18" l="1"/>
  <c r="L20" i="18"/>
  <c r="J212" i="18"/>
  <c r="J13" i="18"/>
  <c r="L56" i="18"/>
  <c r="L13" i="18" l="1"/>
  <c r="N56" i="18"/>
  <c r="L14" i="18"/>
  <c r="N20" i="18"/>
  <c r="L212" i="18"/>
  <c r="N13" i="18" l="1"/>
  <c r="R56" i="18"/>
  <c r="R13" i="18" s="1"/>
  <c r="R20" i="18"/>
  <c r="N14" i="18"/>
  <c r="R212" i="18" l="1"/>
  <c r="R14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<sst xmlns="http://schemas.openxmlformats.org/spreadsheetml/2006/main" count="441" uniqueCount="104">
  <si>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</si>
  <si>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</si>
  <si>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</si>
  <si>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</si>
  <si>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</si>
  <si>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</si>
  <si>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</si>
  <si>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</si>
  <si>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</si>
  <si>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</si>
  <si>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</si>
  <si>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</si>
  <si>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</si>
  <si>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</si>
  <si>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</si>
  <si>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</si>
  <si>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</si>
  <si>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</si>
  <si>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</si>
  <si>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</si>
  <si>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</si>
  <si>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</si>
  <si>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</si>
  <si>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</si>
  <si>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</si>
  <si>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</si>
  <si>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</si>
  <si>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</si>
  <si>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</si>
  <si>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</si>
  <si>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</si>
  <si>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</si>
  <si>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</si>
  <si>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</si>
  <si>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</si>
  <si>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</si>
  <si>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Network Customer True-Up (Schedule 9 charges)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</si>
  <si>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</si>
  <si>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</si>
  <si>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</si>
  <si>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</si>
  <si>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</si>
  <si>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</si>
  <si>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</si>
  <si>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</si>
  <si>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</si>
  <si>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</si>
  <si>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</si>
  <si>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</si>
  <si>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</si>
  <si>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</si>
  <si>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</si>
  <si>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</si>
  <si>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</si>
  <si>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</si>
  <si>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</si>
  <si>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</si>
  <si>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</si>
  <si>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</si>
  <si>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</si>
  <si>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</si>
  <si>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</si>
  <si>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</si>
  <si>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</si>
  <si>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</si>
  <si>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</si>
  <si>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</si>
  <si>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</si>
  <si>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</si>
  <si>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</si>
  <si>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</si>
  <si>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</si>
  <si>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</si>
  <si>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</si>
  <si>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</si>
  <si>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</si>
  <si>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</si>
  <si>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</si>
  <si>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</si>
  <si>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</si>
  <si>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</si>
  <si>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</si>
  <si>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</si>
  <si>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</si>
  <si>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</si>
  <si>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</si>
  <si>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</si>
  <si>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</si>
  <si>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</si>
  <si>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</si>
  <si>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</si>
  <si>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</si>
  <si>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</si>
  <si>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</si>
  <si>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PUBLIC SERVICE COMPANY of OKLAHOMA &amp; SOUTHWESTERN ELECTRIC POWER</t>
  </si>
  <si>
    <t>AEPTCo Formula Rate -- FERC Docket ER18-195</t>
  </si>
  <si>
    <t>Total</t>
  </si>
  <si>
    <t>2021 Load Share</t>
  </si>
  <si>
    <r>
      <t>2024 True-Up
(</t>
    </r>
    <r>
      <rPr>
        <sz val="10"/>
        <rFont val="Arial"/>
        <family val="2"/>
      </rPr>
      <t>w/o Interest)</t>
    </r>
  </si>
  <si>
    <t>2024 Interest</t>
  </si>
  <si>
    <t>Total 2024
True-Up Surcharge / (Refund)</t>
  </si>
  <si>
    <t>2025 True Up Including Interest</t>
  </si>
  <si>
    <t>2025 NOLC FERC Order Refund with Interest</t>
  </si>
  <si>
    <t>2025 NOLC Refund Order Amount with Interest (NITS)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</si>
</sst>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  <numFmt numFmtId="169" formatCode="&quot;$&quot;#,##0.0000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5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241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6" xfId="2" applyNumberFormat="1" applyFont="1" applyBorder="1" applyProtection="1"/>
    <xf numFmtId="165" fontId="0" fillId="0" borderId="17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19" xfId="0" applyBorder="1"/>
    <xf numFmtId="0" fontId="9" fillId="3" borderId="20" xfId="0" quotePrefix="1" applyFont="1" applyFill="1" applyBorder="1" applyAlignment="1">
      <alignment horizontal="left" vertical="center" wrapText="1"/>
    </xf>
    <xf numFmtId="165" fontId="0" fillId="3" borderId="21" xfId="2" applyNumberFormat="1" applyFont="1" applyFill="1" applyBorder="1" applyAlignment="1" applyProtection="1">
      <alignment vertical="center"/>
    </xf>
    <xf numFmtId="165" fontId="0" fillId="3" borderId="22" xfId="2" applyNumberFormat="1" applyFont="1" applyFill="1" applyBorder="1" applyAlignment="1" applyProtection="1">
      <alignment vertical="center"/>
    </xf>
    <xf numFmtId="165" fontId="3" fillId="3" borderId="23" xfId="2" applyNumberFormat="1" applyFont="1" applyFill="1" applyBorder="1" applyAlignment="1" applyProtection="1">
      <alignment vertical="center"/>
    </xf>
    <xf numFmtId="0" fontId="0" fillId="0" borderId="25" xfId="0" quotePrefix="1" applyBorder="1" applyAlignment="1">
      <alignment horizontal="left"/>
    </xf>
    <xf numFmtId="0" fontId="0" fillId="0" borderId="18" xfId="0" applyBorder="1"/>
    <xf numFmtId="0" fontId="0" fillId="0" borderId="26" xfId="0" applyBorder="1"/>
    <xf numFmtId="0" fontId="9" fillId="0" borderId="20" xfId="0" quotePrefix="1" applyFont="1" applyBorder="1" applyAlignment="1">
      <alignment horizontal="left" vertical="center" wrapText="1"/>
    </xf>
    <xf numFmtId="165" fontId="0" fillId="0" borderId="21" xfId="2" applyNumberFormat="1" applyFont="1" applyFill="1" applyBorder="1" applyAlignment="1" applyProtection="1">
      <alignment vertical="center"/>
    </xf>
    <xf numFmtId="165" fontId="0" fillId="0" borderId="22" xfId="2" applyNumberFormat="1" applyFont="1" applyFill="1" applyBorder="1" applyAlignment="1" applyProtection="1">
      <alignment vertical="center"/>
    </xf>
    <xf numFmtId="165" fontId="3" fillId="0" borderId="23" xfId="2" applyNumberFormat="1" applyFont="1" applyFill="1" applyBorder="1" applyAlignment="1" applyProtection="1">
      <alignment vertical="center"/>
    </xf>
    <xf numFmtId="166" fontId="0" fillId="0" borderId="0" xfId="1" applyNumberFormat="1" applyFont="1" applyProtection="1"/>
    <xf numFmtId="0" fontId="9" fillId="0" borderId="5" xfId="0" quotePrefix="1" applyFont="1" applyBorder="1" applyAlignment="1">
      <alignment horizontal="center" vertical="center" wrapText="1"/>
    </xf>
    <xf numFmtId="165" fontId="0" fillId="0" borderId="27" xfId="2" applyNumberFormat="1" applyFont="1" applyBorder="1" applyAlignment="1" applyProtection="1">
      <alignment vertical="center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15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6" borderId="0" xfId="0" applyNumberFormat="1" applyFont="1" applyFill="1" applyAlignment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164" fontId="7" fillId="6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0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0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0" xfId="0" quotePrefix="1" applyBorder="1" applyAlignment="1">
      <alignment horizontal="right"/>
    </xf>
    <xf numFmtId="0" fontId="0" fillId="0" borderId="22" xfId="0" applyBorder="1" applyAlignment="1">
      <alignment horizontal="center"/>
    </xf>
    <xf numFmtId="0" fontId="1" fillId="0" borderId="22" xfId="0" applyFont="1" applyBorder="1" applyAlignment="1">
      <alignment horizontal="center"/>
    </xf>
    <xf numFmtId="164" fontId="3" fillId="0" borderId="24" xfId="0" applyNumberFormat="1" applyFont="1" applyBorder="1" applyAlignment="1">
      <alignment horizontal="right"/>
    </xf>
    <xf numFmtId="167" fontId="0" fillId="0" borderId="22" xfId="0" applyNumberFormat="1" applyBorder="1" applyAlignment="1">
      <alignment horizontal="center"/>
    </xf>
    <xf numFmtId="167" fontId="0" fillId="4" borderId="24" xfId="0" applyNumberFormat="1" applyFill="1" applyBorder="1" applyAlignment="1">
      <alignment horizontal="center"/>
    </xf>
    <xf numFmtId="167" fontId="0" fillId="0" borderId="31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6" xfId="0" applyNumberFormat="1" applyFont="1" applyBorder="1" applyAlignment="1">
      <alignment horizontal="right"/>
    </xf>
    <xf numFmtId="14" fontId="1" fillId="0" borderId="16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0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0" xfId="0" applyNumberFormat="1" applyFont="1" applyBorder="1" applyAlignment="1">
      <alignment horizontal="center"/>
    </xf>
    <xf numFmtId="14" fontId="0" fillId="0" borderId="16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0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2" xfId="0" quotePrefix="1" applyFont="1" applyBorder="1" applyAlignment="1">
      <alignment horizontal="center"/>
    </xf>
    <xf numFmtId="164" fontId="4" fillId="0" borderId="21" xfId="0" quotePrefix="1" applyNumberFormat="1" applyFont="1" applyBorder="1" applyAlignment="1">
      <alignment horizontal="center" vertical="center" wrapText="1"/>
    </xf>
    <xf numFmtId="0" fontId="4" fillId="0" borderId="22" xfId="0" quotePrefix="1" applyFont="1" applyBorder="1" applyAlignment="1">
      <alignment horizontal="center" vertical="center" wrapText="1"/>
    </xf>
    <xf numFmtId="164" fontId="4" fillId="5" borderId="22" xfId="0" quotePrefix="1" applyNumberFormat="1" applyFont="1" applyFill="1" applyBorder="1" applyAlignment="1">
      <alignment horizontal="center" vertical="center" wrapText="1"/>
    </xf>
    <xf numFmtId="164" fontId="4" fillId="0" borderId="22" xfId="0" applyNumberFormat="1" applyFont="1" applyBorder="1" applyAlignment="1">
      <alignment horizontal="center" vertical="center" wrapText="1"/>
    </xf>
    <xf numFmtId="164" fontId="4" fillId="0" borderId="31" xfId="0" applyNumberFormat="1" applyFont="1" applyBorder="1" applyAlignment="1">
      <alignment horizontal="center" vertical="center" wrapText="1"/>
    </xf>
    <xf numFmtId="164" fontId="4" fillId="0" borderId="32" xfId="0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6" borderId="0" xfId="3" applyNumberFormat="1" applyFont="1" applyFill="1"/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8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" fontId="8" fillId="6" borderId="8" xfId="0" applyNumberFormat="1" applyFont="1" applyFill="1" applyBorder="1" applyAlignment="1">
      <alignment horizontal="center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3" xfId="0" applyNumberFormat="1" applyBorder="1" applyAlignment="1">
      <alignment horizontal="center"/>
    </xf>
    <xf numFmtId="14" fontId="1" fillId="0" borderId="33" xfId="0" applyNumberFormat="1" applyFont="1" applyBorder="1"/>
    <xf numFmtId="14" fontId="7" fillId="2" borderId="33" xfId="0" applyNumberFormat="1" applyFont="1" applyFill="1" applyBorder="1" applyAlignment="1">
      <alignment horizontal="left"/>
    </xf>
    <xf numFmtId="14" fontId="1" fillId="0" borderId="0" xfId="0" applyNumberFormat="1" applyFont="1"/>
    <xf numFmtId="0" fontId="0" fillId="0" borderId="33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18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167" fontId="7" fillId="6" borderId="24" xfId="0" applyNumberFormat="1" applyFont="1" applyFill="1" applyBorder="1" applyAlignment="1">
      <alignment horizontal="center"/>
    </xf>
    <xf numFmtId="0" fontId="0" fillId="0" borderId="33" xfId="0" applyBorder="1" applyAlignment="1">
      <alignment horizontal="center"/>
    </xf>
    <xf numFmtId="169" fontId="6" fillId="0" borderId="0" xfId="0" applyNumberFormat="1" applyFont="1"/>
    <xf numFmtId="164" fontId="4" fillId="0" borderId="14" xfId="0" quotePrefix="1" applyNumberFormat="1" applyFont="1" applyBorder="1" applyAlignment="1">
      <alignment horizontal="center" wrapText="1"/>
    </xf>
    <xf numFmtId="0" fontId="4" fillId="0" borderId="22" xfId="0" applyFont="1" applyBorder="1" applyAlignment="1">
      <alignment horizontal="left" vertical="center"/>
    </xf>
    <xf numFmtId="0" fontId="4" fillId="0" borderId="22" xfId="0" quotePrefix="1" applyFont="1" applyBorder="1" applyAlignment="1">
      <alignment horizontal="center" vertical="center"/>
    </xf>
    <xf numFmtId="10" fontId="24" fillId="0" borderId="0" xfId="4" quotePrefix="1" applyNumberFormat="1" applyFont="1" applyFill="1" applyBorder="1" applyAlignment="1" applyProtection="1">
      <alignment horizontal="left"/>
    </xf>
    <xf numFmtId="164" fontId="4" fillId="0" borderId="22" xfId="0" quotePrefix="1" applyNumberFormat="1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 wrapText="1"/>
    </xf>
    <xf numFmtId="168" fontId="0" fillId="0" borderId="0" xfId="4" quotePrefix="1" applyNumberFormat="1" applyFont="1" applyBorder="1" applyAlignment="1" applyProtection="1">
      <alignment horizontal="left"/>
    </xf>
    <xf numFmtId="168" fontId="9" fillId="3" borderId="0" xfId="4" quotePrefix="1" applyNumberFormat="1" applyFont="1" applyFill="1" applyBorder="1" applyAlignment="1" applyProtection="1">
      <alignment horizontal="left" vertical="center" wrapText="1"/>
    </xf>
    <xf numFmtId="168" fontId="0" fillId="0" borderId="0" xfId="4" applyNumberFormat="1" applyFont="1" applyBorder="1" applyAlignment="1" applyProtection="1">
      <alignment horizontal="left"/>
    </xf>
    <xf numFmtId="37" fontId="9" fillId="3" borderId="0" xfId="4" quotePrefix="1" applyNumberFormat="1" applyFont="1" applyFill="1" applyBorder="1" applyAlignment="1" applyProtection="1">
      <alignment vertical="center" wrapText="1"/>
    </xf>
    <xf numFmtId="0" fontId="9" fillId="3" borderId="22" xfId="0" quotePrefix="1" applyFont="1" applyFill="1" applyBorder="1" applyAlignment="1">
      <alignment horizontal="left" vertical="center" wrapText="1"/>
    </xf>
    <xf numFmtId="0" fontId="0" fillId="0" borderId="34" xfId="0" applyBorder="1"/>
    <xf numFmtId="0" fontId="0" fillId="0" borderId="35" xfId="0" quotePrefix="1" applyBorder="1" applyAlignment="1">
      <alignment horizontal="left"/>
    </xf>
    <xf numFmtId="0" fontId="0" fillId="0" borderId="35" xfId="0" applyBorder="1"/>
    <xf numFmtId="0" fontId="0" fillId="0" borderId="36" xfId="0" applyBorder="1"/>
    <xf numFmtId="0" fontId="9" fillId="3" borderId="37" xfId="0" quotePrefix="1" applyFont="1" applyFill="1" applyBorder="1" applyAlignment="1">
      <alignment horizontal="left" vertical="center" wrapText="1"/>
    </xf>
    <xf numFmtId="0" fontId="0" fillId="0" borderId="38" xfId="0" quotePrefix="1" applyBorder="1" applyAlignment="1">
      <alignment horizontal="left"/>
    </xf>
    <xf numFmtId="0" fontId="9" fillId="0" borderId="39" xfId="0" quotePrefix="1" applyFont="1" applyBorder="1" applyAlignment="1">
      <alignment horizontal="center" vertical="center" wrapText="1"/>
    </xf>
    <xf numFmtId="37" fontId="0" fillId="0" borderId="0" xfId="0" applyNumberFormat="1"/>
    <xf numFmtId="37" fontId="0" fillId="0" borderId="0" xfId="1" applyNumberFormat="1" applyFont="1"/>
    <xf numFmtId="37" fontId="9" fillId="3" borderId="22" xfId="0" quotePrefix="1" applyNumberFormat="1" applyFont="1" applyFill="1" applyBorder="1" applyAlignment="1">
      <alignment vertical="center" wrapText="1"/>
    </xf>
    <xf numFmtId="0" fontId="1" fillId="0" borderId="0" xfId="5"/>
    <xf numFmtId="0" fontId="0" fillId="0" borderId="0" xfId="0" applyAlignment="1">
      <alignment horizontal="center" wrapText="1"/>
    </xf>
    <xf numFmtId="164" fontId="0" fillId="0" borderId="26" xfId="0" applyNumberFormat="1" applyBorder="1" applyAlignment="1">
      <alignment horizontal="right"/>
    </xf>
    <xf numFmtId="164" fontId="1" fillId="0" borderId="32" xfId="0" applyNumberFormat="1" applyFont="1" applyBorder="1" applyAlignment="1">
      <alignment horizontal="right"/>
    </xf>
    <xf numFmtId="0" fontId="3" fillId="0" borderId="52" xfId="0" quotePrefix="1" applyFont="1" applyBorder="1" applyAlignment="1">
      <alignment horizontal="center" vertical="center" wrapText="1"/>
    </xf>
    <xf numFmtId="0" fontId="21" fillId="6" borderId="30" xfId="0" applyFont="1" applyFill="1" applyBorder="1"/>
    <xf numFmtId="0" fontId="0" fillId="0" borderId="40" xfId="0" applyBorder="1"/>
    <xf numFmtId="0" fontId="0" fillId="0" borderId="41" xfId="0" applyBorder="1"/>
    <xf numFmtId="0" fontId="0" fillId="0" borderId="40" xfId="0" pivotButton="1" applyBorder="1"/>
    <xf numFmtId="0" fontId="0" fillId="0" borderId="42" xfId="0" applyBorder="1"/>
    <xf numFmtId="17" fontId="0" fillId="0" borderId="40" xfId="0" applyNumberFormat="1" applyBorder="1"/>
    <xf numFmtId="17" fontId="0" fillId="0" borderId="43" xfId="0" applyNumberFormat="1" applyBorder="1"/>
    <xf numFmtId="17" fontId="0" fillId="0" borderId="44" xfId="0" applyNumberFormat="1" applyBorder="1"/>
    <xf numFmtId="166" fontId="0" fillId="0" borderId="40" xfId="0" applyNumberFormat="1" applyBorder="1"/>
    <xf numFmtId="166" fontId="0" fillId="0" borderId="43" xfId="0" applyNumberFormat="1" applyBorder="1"/>
    <xf numFmtId="166" fontId="0" fillId="0" borderId="44" xfId="0" applyNumberFormat="1" applyBorder="1"/>
    <xf numFmtId="0" fontId="0" fillId="0" borderId="45" xfId="0" applyBorder="1"/>
    <xf numFmtId="0" fontId="0" fillId="0" borderId="46" xfId="0" applyBorder="1"/>
    <xf numFmtId="166" fontId="14" fillId="0" borderId="46" xfId="0" applyNumberFormat="1" applyFont="1" applyBorder="1"/>
    <xf numFmtId="166" fontId="14" fillId="0" borderId="0" xfId="0" applyNumberFormat="1" applyFont="1"/>
    <xf numFmtId="166" fontId="14" fillId="0" borderId="47" xfId="0" applyNumberFormat="1" applyFont="1" applyBorder="1"/>
    <xf numFmtId="166" fontId="0" fillId="0" borderId="46" xfId="0" applyNumberFormat="1" applyBorder="1"/>
    <xf numFmtId="166" fontId="0" fillId="0" borderId="0" xfId="0" applyNumberFormat="1"/>
    <xf numFmtId="166" fontId="0" fillId="0" borderId="47" xfId="0" applyNumberFormat="1" applyBorder="1"/>
    <xf numFmtId="166" fontId="14" fillId="0" borderId="40" xfId="0" applyNumberFormat="1" applyFont="1" applyBorder="1"/>
    <xf numFmtId="166" fontId="14" fillId="0" borderId="43" xfId="0" applyNumberFormat="1" applyFont="1" applyBorder="1"/>
    <xf numFmtId="166" fontId="14" fillId="0" borderId="44" xfId="0" applyNumberFormat="1" applyFont="1" applyBorder="1"/>
    <xf numFmtId="0" fontId="0" fillId="0" borderId="48" xfId="0" applyBorder="1"/>
    <xf numFmtId="0" fontId="0" fillId="0" borderId="49" xfId="0" applyBorder="1"/>
    <xf numFmtId="166" fontId="0" fillId="0" borderId="48" xfId="0" applyNumberFormat="1" applyBorder="1"/>
    <xf numFmtId="166" fontId="0" fillId="0" borderId="50" xfId="0" applyNumberFormat="1" applyBorder="1"/>
    <xf numFmtId="166" fontId="0" fillId="0" borderId="51" xfId="0" applyNumberFormat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 2" xfId="3" xr:uid="{00000000-0005-0000-0000-000003000000}"/>
    <cellStyle name="Normal 3" xfId="5" xr:uid="{86673473-3D99-4C2A-A68A-2C876F2414C0}"/>
    <cellStyle name="Percent" xfId="4" builtinId="5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601443981483" createdVersion="6" refreshedVersion="8" recordCount="192" xr:uid="{00000000-000A-0000-FFFF-FFFFEA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3437.72" maxValue="3437.72"/>
    </cacheField>
    <cacheField name="Actual True-Up Rate" numFmtId="0">
      <sharedItems containsSemiMixedTypes="0" containsString="0" containsNumber="1" minValue="3361.78" maxValue="3361.78"/>
    </cacheField>
    <cacheField name="True-Up Charge" numFmtId="164">
      <sharedItems containsSemiMixedTypes="0" containsString="0" containsNumber="1" minValue="0" maxValue="13816915.800000001"/>
    </cacheField>
    <cacheField name="Invoiced*** Charge (proj.)" numFmtId="164">
      <sharedItems containsSemiMixedTypes="0" containsString="0" containsNumber="1" minValue="0" maxValue="14129029.199999999"/>
    </cacheField>
    <cacheField name="True-Up w/o Interest" numFmtId="164">
      <sharedItems containsSemiMixedTypes="0" containsString="0" containsNumber="1" minValue="-312113.39999999851" maxValue="0"/>
    </cacheField>
    <cacheField name="Interest" numFmtId="164">
      <sharedItems containsSemiMixedTypes="0" containsString="0" containsNumber="1" minValue="-127625.00296395036" maxValue="0"/>
    </cacheField>
    <cacheField name="2025 True Up Including Interest" numFmtId="164">
      <sharedItems containsSemiMixedTypes="0" containsString="0" containsNumber="1" minValue="-439738.4029639489" maxValue="0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-439738.4029639489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3437.72"/>
    <n v="3361.78"/>
    <n v="9886994.9800000004"/>
    <n v="10110334.52"/>
    <n v="-223339.53999999911"/>
    <n v="-91324.85005279271"/>
    <n v="-314664.3900527918"/>
    <n v="0"/>
    <n v="0"/>
    <n v="0"/>
    <n v="-314664.3900527918"/>
  </r>
  <r>
    <x v="1"/>
    <d v="2025-03-05T00:00:00"/>
    <d v="2025-03-24T00:00:00"/>
    <x v="0"/>
    <n v="9"/>
    <n v="3221"/>
    <n v="3437.72"/>
    <n v="3361.78"/>
    <n v="10828293.380000001"/>
    <n v="11072896.119999999"/>
    <n v="-244602.73999999836"/>
    <n v="-100019.49745666281"/>
    <n v="-344622.23745666118"/>
    <n v="0"/>
    <n v="0"/>
    <n v="0"/>
    <n v="-344622.23745666118"/>
  </r>
  <r>
    <x v="2"/>
    <d v="2025-04-03T00:00:00"/>
    <d v="2025-04-24T00:00:00"/>
    <x v="0"/>
    <n v="9"/>
    <n v="2419"/>
    <n v="3437.72"/>
    <n v="3361.78"/>
    <n v="8132145.8200000003"/>
    <n v="8315844.6799999997"/>
    <n v="-183698.8599999994"/>
    <n v="-75115.54310700632"/>
    <n v="-258814.40310700572"/>
    <n v="0"/>
    <n v="0"/>
    <n v="0"/>
    <n v="-258814.40310700572"/>
  </r>
  <r>
    <x v="3"/>
    <d v="2025-05-05T00:00:00"/>
    <d v="2025-05-26T00:00:00"/>
    <x v="0"/>
    <n v="9"/>
    <n v="2717"/>
    <n v="3437.72"/>
    <n v="3361.78"/>
    <n v="9133956.2599999998"/>
    <n v="9340285.2400000002"/>
    <n v="-206328.98000000045"/>
    <n v="-84369.132129696634"/>
    <n v="-290698.11212969711"/>
    <n v="0"/>
    <n v="0"/>
    <n v="0"/>
    <n v="-290698.11212969711"/>
  </r>
  <r>
    <x v="4"/>
    <d v="2025-06-04T00:00:00"/>
    <d v="2025-06-24T00:00:00"/>
    <x v="0"/>
    <n v="9"/>
    <n v="3378"/>
    <n v="3437.72"/>
    <n v="3361.78"/>
    <n v="11356092.84"/>
    <n v="11612618.16"/>
    <n v="-256525.3200000003"/>
    <n v="-104894.71046526139"/>
    <n v="-361420.03046526166"/>
    <n v="0"/>
    <n v="0"/>
    <n v="0"/>
    <n v="-361420.03046526166"/>
  </r>
  <r>
    <x v="5"/>
    <d v="2025-07-03T00:00:00"/>
    <d v="2025-07-24T00:00:00"/>
    <x v="0"/>
    <n v="9"/>
    <n v="3824"/>
    <n v="3437.72"/>
    <n v="3361.78"/>
    <n v="12855446.720000001"/>
    <n v="13145841.279999999"/>
    <n v="-290394.55999999866"/>
    <n v="-118744.0416871402"/>
    <n v="-409138.60168713884"/>
    <n v="0"/>
    <n v="0"/>
    <n v="0"/>
    <n v="-409138.60168713884"/>
  </r>
  <r>
    <x v="6"/>
    <d v="2025-08-05T00:00:00"/>
    <d v="2025-08-25T00:00:00"/>
    <x v="0"/>
    <n v="9"/>
    <n v="4110"/>
    <n v="3437.72"/>
    <n v="3361.78"/>
    <n v="13816915.800000001"/>
    <n v="14129029.199999999"/>
    <n v="-312113.39999999851"/>
    <n v="-127625.00296395036"/>
    <n v="-439738.4029639489"/>
    <n v="0"/>
    <n v="0"/>
    <n v="0"/>
    <n v="-439738.4029639489"/>
  </r>
  <r>
    <x v="7"/>
    <d v="2025-09-04T00:00:00"/>
    <d v="2025-09-24T00:00:00"/>
    <x v="0"/>
    <n v="9"/>
    <n v="4096"/>
    <n v="3437.72"/>
    <n v="3361.78"/>
    <n v="13769850.880000001"/>
    <n v="14080901.119999999"/>
    <n v="-311050.23999999836"/>
    <n v="-127190.27059375685"/>
    <n v="-438240.51059375523"/>
    <n v="0"/>
    <n v="0"/>
    <n v="0"/>
    <n v="-438240.51059375523"/>
  </r>
  <r>
    <x v="8"/>
    <d v="2025-10-03T00:00:00"/>
    <d v="2025-10-24T00:00:00"/>
    <x v="0"/>
    <n v="9"/>
    <n v="3657"/>
    <n v="3437.72"/>
    <n v="3361.78"/>
    <n v="12294029.460000001"/>
    <n v="12571742.039999999"/>
    <n v="-277712.57999999821"/>
    <n v="-113558.30555697481"/>
    <n v="-391270.88555697305"/>
    <n v="0"/>
    <n v="0"/>
    <n v="0"/>
    <n v="-391270.88555697305"/>
  </r>
  <r>
    <x v="9"/>
    <d v="2025-11-05T00:00:00"/>
    <d v="2025-11-24T00:00:00"/>
    <x v="0"/>
    <n v="9"/>
    <n v="3261"/>
    <n v="3437.72"/>
    <n v="3361.78"/>
    <n v="10962764.58"/>
    <n v="11210404.92"/>
    <n v="-247640.33999999985"/>
    <n v="-101261.58994292996"/>
    <n v="-348901.92994292983"/>
    <n v="0"/>
    <n v="0"/>
    <n v="0"/>
    <n v="-348901.92994292983"/>
  </r>
  <r>
    <x v="10"/>
    <d v="2025-12-03T00:00:00"/>
    <d v="2025-12-24T00:00:00"/>
    <x v="0"/>
    <n v="9"/>
    <n v="2449"/>
    <n v="3437.72"/>
    <n v="3361.78"/>
    <n v="8232999.2200000007"/>
    <n v="8418976.2799999993"/>
    <n v="-185977.05999999866"/>
    <n v="-76047.112471706685"/>
    <n v="-262024.17247170536"/>
    <n v="0"/>
    <n v="0"/>
    <n v="0"/>
    <n v="-262024.17247170536"/>
  </r>
  <r>
    <x v="11"/>
    <d v="2026-01-06T00:00:00"/>
    <d v="2026-01-26T00:00:00"/>
    <x v="0"/>
    <n v="9"/>
    <n v="2817"/>
    <n v="3437.72"/>
    <n v="3361.78"/>
    <n v="9470134.2599999998"/>
    <n v="9684057.2400000002"/>
    <n v="-213922.98000000045"/>
    <n v="-87474.363345364516"/>
    <n v="-301397.34334536496"/>
    <n v="0"/>
    <n v="0"/>
    <n v="0"/>
    <n v="-301397.34334536496"/>
  </r>
  <r>
    <x v="0"/>
    <d v="2025-02-05T00:00:00"/>
    <d v="2025-02-24T00:00:00"/>
    <x v="1"/>
    <n v="9"/>
    <n v="3414"/>
    <n v="3437.72"/>
    <n v="3361.78"/>
    <n v="11477116.92"/>
    <n v="11736376.08"/>
    <n v="-259259.16000000015"/>
    <n v="-106012.59370290185"/>
    <n v="-365271.753702902"/>
    <n v="0"/>
    <n v="0"/>
    <n v="0"/>
    <n v="-365271.753702902"/>
  </r>
  <r>
    <x v="1"/>
    <d v="2025-03-05T00:00:00"/>
    <d v="2025-03-24T00:00:00"/>
    <x v="1"/>
    <n v="9"/>
    <n v="3330"/>
    <n v="3437.72"/>
    <n v="3361.78"/>
    <n v="11194727.4"/>
    <n v="11447607.6"/>
    <n v="-252880.19999999925"/>
    <n v="-103404.19948174081"/>
    <n v="-356284.39948174008"/>
    <n v="0"/>
    <n v="0"/>
    <n v="0"/>
    <n v="-356284.39948174008"/>
  </r>
  <r>
    <x v="2"/>
    <d v="2025-04-03T00:00:00"/>
    <d v="2025-04-24T00:00:00"/>
    <x v="1"/>
    <n v="9"/>
    <n v="2483"/>
    <n v="3437.72"/>
    <n v="3361.78"/>
    <n v="8347299.7400000002"/>
    <n v="8535858.7599999998"/>
    <n v="-188559.01999999955"/>
    <n v="-77102.891085033756"/>
    <n v="-265661.91108503332"/>
    <n v="0"/>
    <n v="0"/>
    <n v="0"/>
    <n v="-265661.91108503332"/>
  </r>
  <r>
    <x v="3"/>
    <d v="2025-05-05T00:00:00"/>
    <d v="2025-05-26T00:00:00"/>
    <x v="1"/>
    <n v="9"/>
    <n v="2549"/>
    <n v="3437.72"/>
    <n v="3361.78"/>
    <n v="8569177.2200000007"/>
    <n v="8762748.2799999993"/>
    <n v="-193571.05999999866"/>
    <n v="-79152.343687374567"/>
    <n v="-272723.40368737321"/>
    <n v="0"/>
    <n v="0"/>
    <n v="0"/>
    <n v="-272723.40368737321"/>
  </r>
  <r>
    <x v="4"/>
    <d v="2025-06-04T00:00:00"/>
    <d v="2025-06-24T00:00:00"/>
    <x v="1"/>
    <n v="9"/>
    <n v="3007"/>
    <n v="3437.72"/>
    <n v="3361.78"/>
    <n v="10108872.460000001"/>
    <n v="10337224.039999999"/>
    <n v="-228351.57999999821"/>
    <n v="-93374.302655133521"/>
    <n v="-321725.88265513175"/>
    <n v="0"/>
    <n v="0"/>
    <n v="0"/>
    <n v="-321725.88265513175"/>
  </r>
  <r>
    <x v="5"/>
    <d v="2025-07-03T00:00:00"/>
    <d v="2025-07-24T00:00:00"/>
    <x v="1"/>
    <n v="9"/>
    <n v="3377"/>
    <n v="3437.72"/>
    <n v="3361.78"/>
    <n v="11352731.060000001"/>
    <n v="11609180.439999999"/>
    <n v="-256449.37999999896"/>
    <n v="-104863.65815310473"/>
    <n v="-361313.03815310367"/>
    <n v="0"/>
    <n v="0"/>
    <n v="0"/>
    <n v="-361313.03815310367"/>
  </r>
  <r>
    <x v="6"/>
    <d v="2025-08-05T00:00:00"/>
    <d v="2025-08-25T00:00:00"/>
    <x v="1"/>
    <n v="9"/>
    <n v="3723"/>
    <n v="3437.72"/>
    <n v="3361.78"/>
    <n v="12515906.940000001"/>
    <n v="12798631.559999999"/>
    <n v="-282724.61999999732"/>
    <n v="-115607.75815931564"/>
    <n v="-398332.37815931294"/>
    <n v="0"/>
    <n v="0"/>
    <n v="0"/>
    <n v="-398332.37815931294"/>
  </r>
  <r>
    <x v="7"/>
    <d v="2025-09-04T00:00:00"/>
    <d v="2025-09-24T00:00:00"/>
    <x v="1"/>
    <n v="9"/>
    <n v="3715"/>
    <n v="3437.72"/>
    <n v="3361.78"/>
    <n v="12489012.700000001"/>
    <n v="12771129.799999999"/>
    <n v="-282117.09999999776"/>
    <n v="-115359.33966206219"/>
    <n v="-397476.43966205994"/>
    <n v="0"/>
    <n v="0"/>
    <n v="0"/>
    <n v="-397476.43966205994"/>
  </r>
  <r>
    <x v="8"/>
    <d v="2025-10-03T00:00:00"/>
    <d v="2025-10-24T00:00:00"/>
    <x v="1"/>
    <n v="9"/>
    <n v="3256"/>
    <n v="3437.72"/>
    <n v="3361.78"/>
    <n v="10945955.680000002"/>
    <n v="11193216.319999998"/>
    <n v="-247260.63999999687"/>
    <n v="-101106.32838214657"/>
    <n v="-348366.96838214342"/>
    <n v="0"/>
    <n v="0"/>
    <n v="0"/>
    <n v="-348366.96838214342"/>
  </r>
  <r>
    <x v="9"/>
    <d v="2025-11-05T00:00:00"/>
    <d v="2025-11-24T00:00:00"/>
    <x v="1"/>
    <n v="9"/>
    <n v="3014"/>
    <n v="3437.72"/>
    <n v="3361.78"/>
    <n v="10132404.92"/>
    <n v="10361288.08"/>
    <n v="-228883.16000000015"/>
    <n v="-93591.668840230268"/>
    <n v="-322474.82884023042"/>
    <n v="0"/>
    <n v="0"/>
    <n v="0"/>
    <n v="-322474.82884023042"/>
  </r>
  <r>
    <x v="10"/>
    <d v="2025-12-03T00:00:00"/>
    <d v="2025-12-24T00:00:00"/>
    <x v="1"/>
    <n v="9"/>
    <n v="2338"/>
    <n v="3437.72"/>
    <n v="3361.78"/>
    <n v="7859841.6400000006"/>
    <n v="8037389.3599999994"/>
    <n v="-177547.71999999881"/>
    <n v="-72600.30582231532"/>
    <n v="-250148.02582231414"/>
    <n v="0"/>
    <n v="0"/>
    <n v="0"/>
    <n v="-250148.02582231414"/>
  </r>
  <r>
    <x v="11"/>
    <d v="2026-01-06T00:00:00"/>
    <d v="2026-01-26T00:00:00"/>
    <x v="1"/>
    <n v="9"/>
    <n v="2969"/>
    <n v="3437.72"/>
    <n v="3361.78"/>
    <n v="9981124.8200000003"/>
    <n v="10206590.68"/>
    <n v="-225465.8599999994"/>
    <n v="-92194.314793179728"/>
    <n v="-317660.17479317915"/>
    <n v="0"/>
    <n v="0"/>
    <n v="0"/>
    <n v="-317660.17479317915"/>
  </r>
  <r>
    <x v="0"/>
    <d v="2025-02-05T00:00:00"/>
    <d v="2025-02-24T00:00:00"/>
    <x v="2"/>
    <n v="9"/>
    <n v="211"/>
    <n v="3437.72"/>
    <n v="3361.78"/>
    <n v="709335.58000000007"/>
    <n v="725358.91999999993"/>
    <n v="-16023.339999999851"/>
    <n v="-6552.0378650592529"/>
    <n v="-22575.377865059105"/>
    <n v="0"/>
    <n v="0"/>
    <n v="0"/>
    <n v="-22575.377865059105"/>
  </r>
  <r>
    <x v="1"/>
    <d v="2025-03-05T00:00:00"/>
    <d v="2025-03-24T00:00:00"/>
    <x v="2"/>
    <n v="9"/>
    <n v="200"/>
    <n v="3437.72"/>
    <n v="3361.78"/>
    <n v="672356"/>
    <n v="687544"/>
    <n v="-15188"/>
    <n v="-6210.4624313357845"/>
    <n v="-21398.462431335785"/>
    <n v="0"/>
    <n v="0"/>
    <n v="0"/>
    <n v="-21398.462431335785"/>
  </r>
  <r>
    <x v="2"/>
    <d v="2025-04-03T00:00:00"/>
    <d v="2025-04-24T00:00:00"/>
    <x v="2"/>
    <n v="9"/>
    <n v="122"/>
    <n v="3437.72"/>
    <n v="3361.78"/>
    <n v="410137.16000000003"/>
    <n v="419401.83999999997"/>
    <n v="-9264.6799999999348"/>
    <n v="-3788.3820831148287"/>
    <n v="-13053.062083114764"/>
    <n v="0"/>
    <n v="0"/>
    <n v="0"/>
    <n v="-13053.062083114764"/>
  </r>
  <r>
    <x v="3"/>
    <d v="2025-05-05T00:00:00"/>
    <d v="2025-05-26T00:00:00"/>
    <x v="2"/>
    <n v="9"/>
    <n v="109"/>
    <n v="3437.72"/>
    <n v="3361.78"/>
    <n v="366434.02"/>
    <n v="374711.48"/>
    <n v="-8277.4599999999627"/>
    <n v="-3384.7020250780029"/>
    <n v="-11662.162025077965"/>
    <n v="0"/>
    <n v="0"/>
    <n v="0"/>
    <n v="-11662.162025077965"/>
  </r>
  <r>
    <x v="4"/>
    <d v="2025-06-04T00:00:00"/>
    <d v="2025-06-24T00:00:00"/>
    <x v="2"/>
    <n v="9"/>
    <n v="102"/>
    <n v="3437.72"/>
    <n v="3361.78"/>
    <n v="342901.56"/>
    <n v="350647.44"/>
    <n v="-7745.8800000000047"/>
    <n v="-3167.33583998125"/>
    <n v="-10913.215839981254"/>
    <n v="0"/>
    <n v="0"/>
    <n v="0"/>
    <n v="-10913.215839981254"/>
  </r>
  <r>
    <x v="5"/>
    <d v="2025-07-03T00:00:00"/>
    <d v="2025-07-24T00:00:00"/>
    <x v="2"/>
    <n v="9"/>
    <n v="131"/>
    <n v="3437.72"/>
    <n v="3361.78"/>
    <n v="440393.18000000005"/>
    <n v="450341.31999999995"/>
    <n v="-9948.1399999998976"/>
    <n v="-4067.8528925249389"/>
    <n v="-14015.992892524837"/>
    <n v="0"/>
    <n v="0"/>
    <n v="0"/>
    <n v="-14015.992892524837"/>
  </r>
  <r>
    <x v="6"/>
    <d v="2025-08-05T00:00:00"/>
    <d v="2025-08-25T00:00:00"/>
    <x v="2"/>
    <n v="9"/>
    <n v="146"/>
    <n v="3437.72"/>
    <n v="3361.78"/>
    <n v="490819.88"/>
    <n v="501907.12"/>
    <n v="-11087.239999999991"/>
    <n v="-4533.6375748751225"/>
    <n v="-15620.877574875114"/>
    <n v="0"/>
    <n v="0"/>
    <n v="0"/>
    <n v="-15620.877574875114"/>
  </r>
  <r>
    <x v="7"/>
    <d v="2025-09-04T00:00:00"/>
    <d v="2025-09-24T00:00:00"/>
    <x v="2"/>
    <n v="9"/>
    <n v="149"/>
    <n v="3437.72"/>
    <n v="3361.78"/>
    <n v="500905.22000000003"/>
    <n v="512220.27999999997"/>
    <n v="-11315.059999999939"/>
    <n v="-4626.7945113451597"/>
    <n v="-15941.8545113451"/>
    <n v="0"/>
    <n v="0"/>
    <n v="0"/>
    <n v="-15941.8545113451"/>
  </r>
  <r>
    <x v="8"/>
    <d v="2025-10-03T00:00:00"/>
    <d v="2025-10-24T00:00:00"/>
    <x v="2"/>
    <n v="9"/>
    <n v="122"/>
    <n v="3437.72"/>
    <n v="3361.78"/>
    <n v="410137.16000000003"/>
    <n v="419401.83999999997"/>
    <n v="-9264.6799999999348"/>
    <n v="-3788.3820831148287"/>
    <n v="-13053.062083114764"/>
    <n v="0"/>
    <n v="0"/>
    <n v="0"/>
    <n v="-13053.062083114764"/>
  </r>
  <r>
    <x v="9"/>
    <d v="2025-11-05T00:00:00"/>
    <d v="2025-11-24T00:00:00"/>
    <x v="2"/>
    <n v="9"/>
    <n v="117"/>
    <n v="3437.72"/>
    <n v="3361.78"/>
    <n v="393328.26"/>
    <n v="402213.24"/>
    <n v="-8884.9799999999814"/>
    <n v="-3633.1205223314341"/>
    <n v="-12518.100522331415"/>
    <n v="0"/>
    <n v="0"/>
    <n v="0"/>
    <n v="-12518.100522331415"/>
  </r>
  <r>
    <x v="10"/>
    <d v="2025-12-03T00:00:00"/>
    <d v="2025-12-24T00:00:00"/>
    <x v="2"/>
    <n v="9"/>
    <n v="118"/>
    <n v="3437.72"/>
    <n v="3361.78"/>
    <n v="396690.04000000004"/>
    <n v="405650.95999999996"/>
    <n v="-8960.9199999999255"/>
    <n v="-3664.172834488113"/>
    <n v="-12625.092834488038"/>
    <n v="0"/>
    <n v="0"/>
    <n v="0"/>
    <n v="-12625.092834488038"/>
  </r>
  <r>
    <x v="11"/>
    <d v="2026-01-06T00:00:00"/>
    <d v="2026-01-26T00:00:00"/>
    <x v="2"/>
    <n v="9"/>
    <n v="178"/>
    <n v="3437.72"/>
    <n v="3361.78"/>
    <n v="598396.84000000008"/>
    <n v="611914.15999999992"/>
    <n v="-13517.319999999832"/>
    <n v="-5527.3115638888476"/>
    <n v="-19044.631563888681"/>
    <n v="0"/>
    <n v="0"/>
    <n v="0"/>
    <n v="-19044.631563888681"/>
  </r>
  <r>
    <x v="0"/>
    <d v="2025-02-05T00:00:00"/>
    <d v="2025-02-24T00:00:00"/>
    <x v="3"/>
    <n v="9"/>
    <n v="966"/>
    <n v="3437.72"/>
    <n v="3361.78"/>
    <n v="3247479.48"/>
    <n v="3320837.52"/>
    <n v="-73358.040000000037"/>
    <n v="-29996.533543351841"/>
    <n v="-103354.57354335187"/>
    <n v="0"/>
    <n v="0"/>
    <n v="0"/>
    <n v="-103354.57354335187"/>
  </r>
  <r>
    <x v="1"/>
    <d v="2025-03-05T00:00:00"/>
    <d v="2025-03-24T00:00:00"/>
    <x v="3"/>
    <n v="9"/>
    <n v="1102"/>
    <n v="3437.72"/>
    <n v="3361.78"/>
    <n v="3704681.56"/>
    <n v="3788367.44"/>
    <n v="-83685.879999999888"/>
    <n v="-34219.647996660169"/>
    <n v="-117905.52799666006"/>
    <n v="0"/>
    <n v="0"/>
    <n v="0"/>
    <n v="-117905.52799666006"/>
  </r>
  <r>
    <x v="2"/>
    <d v="2025-04-03T00:00:00"/>
    <d v="2025-04-24T00:00:00"/>
    <x v="3"/>
    <n v="9"/>
    <n v="715"/>
    <n v="3437.72"/>
    <n v="3361.78"/>
    <n v="2403672.7000000002"/>
    <n v="2457969.7999999998"/>
    <n v="-54297.099999999627"/>
    <n v="-22202.403192025427"/>
    <n v="-76499.503192025062"/>
    <n v="0"/>
    <n v="0"/>
    <n v="0"/>
    <n v="-76499.503192025062"/>
  </r>
  <r>
    <x v="3"/>
    <d v="2025-05-05T00:00:00"/>
    <d v="2025-05-26T00:00:00"/>
    <x v="3"/>
    <n v="9"/>
    <n v="581"/>
    <n v="3437.72"/>
    <n v="3361.78"/>
    <n v="1953194.1800000002"/>
    <n v="1997315.3199999998"/>
    <n v="-44121.139999999665"/>
    <n v="-18041.393363030453"/>
    <n v="-62162.533363030117"/>
    <n v="0"/>
    <n v="0"/>
    <n v="0"/>
    <n v="-62162.533363030117"/>
  </r>
  <r>
    <x v="4"/>
    <d v="2025-06-04T00:00:00"/>
    <d v="2025-06-24T00:00:00"/>
    <x v="3"/>
    <n v="9"/>
    <n v="781"/>
    <n v="3437.72"/>
    <n v="3361.78"/>
    <n v="2625550.1800000002"/>
    <n v="2684859.32"/>
    <n v="-59309.139999999665"/>
    <n v="-24251.855794366238"/>
    <n v="-83560.99579436591"/>
    <n v="0"/>
    <n v="0"/>
    <n v="0"/>
    <n v="-83560.99579436591"/>
  </r>
  <r>
    <x v="5"/>
    <d v="2025-07-03T00:00:00"/>
    <d v="2025-07-24T00:00:00"/>
    <x v="3"/>
    <n v="9"/>
    <n v="896"/>
    <n v="3437.72"/>
    <n v="3361.78"/>
    <n v="3012154.8800000004"/>
    <n v="3080197.1199999996"/>
    <n v="-68042.239999999292"/>
    <n v="-27822.871692384313"/>
    <n v="-95865.111692383609"/>
    <n v="0"/>
    <n v="0"/>
    <n v="0"/>
    <n v="-95865.111692383609"/>
  </r>
  <r>
    <x v="6"/>
    <d v="2025-08-05T00:00:00"/>
    <d v="2025-08-25T00:00:00"/>
    <x v="3"/>
    <n v="9"/>
    <n v="1028"/>
    <n v="3437.72"/>
    <n v="3361.78"/>
    <n v="3455909.8400000003"/>
    <n v="3533976.1599999997"/>
    <n v="-78066.319999999367"/>
    <n v="-31921.776897065934"/>
    <n v="-109988.0968970653"/>
    <n v="0"/>
    <n v="0"/>
    <n v="0"/>
    <n v="-109988.0968970653"/>
  </r>
  <r>
    <x v="7"/>
    <d v="2025-09-04T00:00:00"/>
    <d v="2025-09-24T00:00:00"/>
    <x v="3"/>
    <n v="9"/>
    <n v="1055"/>
    <n v="3437.72"/>
    <n v="3361.78"/>
    <n v="3546677.9000000004"/>
    <n v="3626794.5999999996"/>
    <n v="-80116.699999999255"/>
    <n v="-32760.189325296265"/>
    <n v="-112876.88932529552"/>
    <n v="0"/>
    <n v="0"/>
    <n v="0"/>
    <n v="-112876.88932529552"/>
  </r>
  <r>
    <x v="8"/>
    <d v="2025-10-03T00:00:00"/>
    <d v="2025-10-24T00:00:00"/>
    <x v="3"/>
    <n v="9"/>
    <n v="815"/>
    <n v="3437.72"/>
    <n v="3361.78"/>
    <n v="2739850.7"/>
    <n v="2801741.8"/>
    <n v="-61891.099999999627"/>
    <n v="-25307.63440769332"/>
    <n v="-87198.734407692944"/>
    <n v="0"/>
    <n v="0"/>
    <n v="0"/>
    <n v="-87198.734407692944"/>
  </r>
  <r>
    <x v="9"/>
    <d v="2025-11-05T00:00:00"/>
    <d v="2025-11-24T00:00:00"/>
    <x v="3"/>
    <n v="9"/>
    <n v="738"/>
    <n v="3437.72"/>
    <n v="3361.78"/>
    <n v="2480993.64"/>
    <n v="2537037.36"/>
    <n v="-56043.719999999739"/>
    <n v="-22916.606371629045"/>
    <n v="-78960.326371628791"/>
    <n v="0"/>
    <n v="0"/>
    <n v="0"/>
    <n v="-78960.326371628791"/>
  </r>
  <r>
    <x v="10"/>
    <d v="2025-12-03T00:00:00"/>
    <d v="2025-12-24T00:00:00"/>
    <x v="3"/>
    <n v="9"/>
    <n v="706"/>
    <n v="3437.72"/>
    <n v="3361.78"/>
    <n v="2373416.6800000002"/>
    <n v="2427030.3199999998"/>
    <n v="-53613.639999999665"/>
    <n v="-21922.93238261532"/>
    <n v="-75536.572382614977"/>
    <n v="0"/>
    <n v="0"/>
    <n v="0"/>
    <n v="-75536.572382614977"/>
  </r>
  <r>
    <x v="11"/>
    <d v="2026-01-06T00:00:00"/>
    <d v="2026-01-26T00:00:00"/>
    <x v="3"/>
    <n v="9"/>
    <n v="863"/>
    <n v="3437.72"/>
    <n v="3361.78"/>
    <n v="2901216.14"/>
    <n v="2966752.36"/>
    <n v="-65536.219999999739"/>
    <n v="-26798.145391213908"/>
    <n v="-92334.365391213651"/>
    <n v="0"/>
    <n v="0"/>
    <n v="0"/>
    <n v="-92334.365391213651"/>
  </r>
  <r>
    <x v="0"/>
    <d v="2025-02-05T00:00:00"/>
    <d v="2025-02-24T00:00:00"/>
    <x v="4"/>
    <n v="9"/>
    <n v="47"/>
    <n v="3437.72"/>
    <n v="3361.78"/>
    <n v="158003.66"/>
    <n v="161572.84"/>
    <n v="-3569.179999999993"/>
    <n v="-1459.4586713639094"/>
    <n v="-5028.6386713639022"/>
    <n v="0"/>
    <n v="0"/>
    <n v="0"/>
    <n v="-5028.6386713639022"/>
  </r>
  <r>
    <x v="1"/>
    <d v="2025-03-05T00:00:00"/>
    <d v="2025-03-24T00:00:00"/>
    <x v="4"/>
    <n v="9"/>
    <n v="57"/>
    <n v="3437.72"/>
    <n v="3361.78"/>
    <n v="191621.46000000002"/>
    <n v="195950.03999999998"/>
    <n v="-4328.5799999999581"/>
    <n v="-1769.9817929306985"/>
    <n v="-6098.5617929306563"/>
    <n v="0"/>
    <n v="0"/>
    <n v="0"/>
    <n v="-6098.5617929306563"/>
  </r>
  <r>
    <x v="2"/>
    <d v="2025-04-03T00:00:00"/>
    <d v="2025-04-24T00:00:00"/>
    <x v="4"/>
    <n v="9"/>
    <n v="34"/>
    <n v="3437.72"/>
    <n v="3361.78"/>
    <n v="114300.52"/>
    <n v="116882.48"/>
    <n v="-2581.9599999999919"/>
    <n v="-1055.7786133270833"/>
    <n v="-3637.7386133270752"/>
    <n v="0"/>
    <n v="0"/>
    <n v="0"/>
    <n v="-3637.7386133270752"/>
  </r>
  <r>
    <x v="3"/>
    <d v="2025-05-05T00:00:00"/>
    <d v="2025-05-26T00:00:00"/>
    <x v="4"/>
    <n v="9"/>
    <n v="27"/>
    <n v="3437.72"/>
    <n v="3361.78"/>
    <n v="90768.060000000012"/>
    <n v="92818.439999999988"/>
    <n v="-2050.3799999999756"/>
    <n v="-838.41242823033099"/>
    <n v="-2888.7924282303065"/>
    <n v="0"/>
    <n v="0"/>
    <n v="0"/>
    <n v="-2888.7924282303065"/>
  </r>
  <r>
    <x v="4"/>
    <d v="2025-06-04T00:00:00"/>
    <d v="2025-06-24T00:00:00"/>
    <x v="4"/>
    <n v="9"/>
    <n v="40"/>
    <n v="3437.72"/>
    <n v="3361.78"/>
    <n v="134471.20000000001"/>
    <n v="137508.79999999999"/>
    <n v="-3037.5999999999767"/>
    <n v="-1242.0924862671568"/>
    <n v="-4279.6924862671331"/>
    <n v="0"/>
    <n v="0"/>
    <n v="0"/>
    <n v="-4279.6924862671331"/>
  </r>
  <r>
    <x v="5"/>
    <d v="2025-07-03T00:00:00"/>
    <d v="2025-07-24T00:00:00"/>
    <x v="4"/>
    <n v="9"/>
    <n v="46"/>
    <n v="3437.72"/>
    <n v="3361.78"/>
    <n v="154641.88"/>
    <n v="158135.12"/>
    <n v="-3493.2399999999907"/>
    <n v="-1428.4063592072305"/>
    <n v="-4921.6463592072214"/>
    <n v="0"/>
    <n v="0"/>
    <n v="0"/>
    <n v="-4921.6463592072214"/>
  </r>
  <r>
    <x v="6"/>
    <d v="2025-08-05T00:00:00"/>
    <d v="2025-08-25T00:00:00"/>
    <x v="4"/>
    <n v="9"/>
    <n v="55"/>
    <n v="3437.72"/>
    <n v="3361.78"/>
    <n v="184897.90000000002"/>
    <n v="189074.59999999998"/>
    <n v="-4176.6999999999534"/>
    <n v="-1707.8771686173409"/>
    <n v="-5884.5771686172939"/>
    <n v="0"/>
    <n v="0"/>
    <n v="0"/>
    <n v="-5884.5771686172939"/>
  </r>
  <r>
    <x v="7"/>
    <d v="2025-09-04T00:00:00"/>
    <d v="2025-09-24T00:00:00"/>
    <x v="4"/>
    <n v="9"/>
    <n v="55"/>
    <n v="3437.72"/>
    <n v="3361.78"/>
    <n v="184897.90000000002"/>
    <n v="189074.59999999998"/>
    <n v="-4176.6999999999534"/>
    <n v="-1707.8771686173409"/>
    <n v="-5884.5771686172939"/>
    <n v="0"/>
    <n v="0"/>
    <n v="0"/>
    <n v="-5884.5771686172939"/>
  </r>
  <r>
    <x v="8"/>
    <d v="2025-10-03T00:00:00"/>
    <d v="2025-10-24T00:00:00"/>
    <x v="4"/>
    <n v="9"/>
    <n v="44"/>
    <n v="3437.72"/>
    <n v="3361.78"/>
    <n v="147918.32"/>
    <n v="151259.68"/>
    <n v="-3341.359999999986"/>
    <n v="-1366.3017348938727"/>
    <n v="-4707.6617348938589"/>
    <n v="0"/>
    <n v="0"/>
    <n v="0"/>
    <n v="-4707.6617348938589"/>
  </r>
  <r>
    <x v="9"/>
    <d v="2025-11-05T00:00:00"/>
    <d v="2025-11-24T00:00:00"/>
    <x v="4"/>
    <n v="9"/>
    <n v="34"/>
    <n v="3437.72"/>
    <n v="3361.78"/>
    <n v="114300.52"/>
    <n v="116882.48"/>
    <n v="-2581.9599999999919"/>
    <n v="-1055.7786133270833"/>
    <n v="-3637.7386133270752"/>
    <n v="0"/>
    <n v="0"/>
    <n v="0"/>
    <n v="-3637.7386133270752"/>
  </r>
  <r>
    <x v="10"/>
    <d v="2025-12-03T00:00:00"/>
    <d v="2025-12-24T00:00:00"/>
    <x v="4"/>
    <n v="9"/>
    <n v="35"/>
    <n v="3437.72"/>
    <n v="3361.78"/>
    <n v="117662.3"/>
    <n v="120320.2"/>
    <n v="-2657.8999999999942"/>
    <n v="-1086.8309254837623"/>
    <n v="-3744.7309254837564"/>
    <n v="0"/>
    <n v="0"/>
    <n v="0"/>
    <n v="-3744.7309254837564"/>
  </r>
  <r>
    <x v="11"/>
    <d v="2026-01-06T00:00:00"/>
    <d v="2026-01-26T00:00:00"/>
    <x v="4"/>
    <n v="9"/>
    <n v="39"/>
    <n v="3437.72"/>
    <n v="3361.78"/>
    <n v="131109.42000000001"/>
    <n v="134071.07999999999"/>
    <n v="-2961.6599999999744"/>
    <n v="-1211.0401741104779"/>
    <n v="-4172.7001741104523"/>
    <n v="0"/>
    <n v="0"/>
    <n v="0"/>
    <n v="-4172.7001741104523"/>
  </r>
  <r>
    <x v="0"/>
    <d v="2025-02-05T00:00:00"/>
    <d v="2025-02-24T00:00:00"/>
    <x v="5"/>
    <n v="9"/>
    <n v="67"/>
    <n v="3437.72"/>
    <n v="3361.78"/>
    <n v="225239.26"/>
    <n v="230327.24"/>
    <n v="-5087.9799999999814"/>
    <n v="-2080.5049144974878"/>
    <n v="-7168.4849144974687"/>
    <n v="0"/>
    <n v="0"/>
    <n v="0"/>
    <n v="-7168.4849144974687"/>
  </r>
  <r>
    <x v="1"/>
    <d v="2025-03-05T00:00:00"/>
    <d v="2025-03-24T00:00:00"/>
    <x v="5"/>
    <n v="9"/>
    <n v="71"/>
    <n v="3437.72"/>
    <n v="3361.78"/>
    <n v="238686.38"/>
    <n v="244078.12"/>
    <n v="-5391.7399999999907"/>
    <n v="-2204.7141631242034"/>
    <n v="-7596.4541631241937"/>
    <n v="0"/>
    <n v="0"/>
    <n v="0"/>
    <n v="-7596.4541631241937"/>
  </r>
  <r>
    <x v="2"/>
    <d v="2025-04-03T00:00:00"/>
    <d v="2025-04-24T00:00:00"/>
    <x v="5"/>
    <n v="9"/>
    <n v="49"/>
    <n v="3437.72"/>
    <n v="3361.78"/>
    <n v="164727.22"/>
    <n v="168448.28"/>
    <n v="-3721.0599999999977"/>
    <n v="-1521.5632956772672"/>
    <n v="-5242.6232956772647"/>
    <n v="0"/>
    <n v="0"/>
    <n v="0"/>
    <n v="-5242.6232956772647"/>
  </r>
  <r>
    <x v="3"/>
    <d v="2025-05-05T00:00:00"/>
    <d v="2025-05-26T00:00:00"/>
    <x v="5"/>
    <n v="9"/>
    <n v="37"/>
    <n v="3437.72"/>
    <n v="3361.78"/>
    <n v="124385.86"/>
    <n v="127195.64"/>
    <n v="-2809.7799999999988"/>
    <n v="-1148.9355497971201"/>
    <n v="-3958.7155497971189"/>
    <n v="0"/>
    <n v="0"/>
    <n v="0"/>
    <n v="-3958.7155497971189"/>
  </r>
  <r>
    <x v="4"/>
    <d v="2025-06-04T00:00:00"/>
    <d v="2025-06-24T00:00:00"/>
    <x v="5"/>
    <n v="9"/>
    <n v="50"/>
    <n v="3437.72"/>
    <n v="3361.78"/>
    <n v="168089"/>
    <n v="171886"/>
    <n v="-3797"/>
    <n v="-1552.6156078339461"/>
    <n v="-5349.6156078339463"/>
    <n v="0"/>
    <n v="0"/>
    <n v="0"/>
    <n v="-5349.6156078339463"/>
  </r>
  <r>
    <x v="5"/>
    <d v="2025-07-03T00:00:00"/>
    <d v="2025-07-24T00:00:00"/>
    <x v="5"/>
    <n v="9"/>
    <n v="54"/>
    <n v="3437.72"/>
    <n v="3361.78"/>
    <n v="181536.12000000002"/>
    <n v="185636.87999999998"/>
    <n v="-4100.7599999999511"/>
    <n v="-1676.824856460662"/>
    <n v="-5777.5848564606131"/>
    <n v="0"/>
    <n v="0"/>
    <n v="0"/>
    <n v="-5777.5848564606131"/>
  </r>
  <r>
    <x v="6"/>
    <d v="2025-08-05T00:00:00"/>
    <d v="2025-08-25T00:00:00"/>
    <x v="5"/>
    <n v="9"/>
    <n v="62"/>
    <n v="3437.72"/>
    <n v="3361.78"/>
    <n v="208430.36000000002"/>
    <n v="213138.63999999998"/>
    <n v="-4708.2799999999697"/>
    <n v="-1925.2433537140932"/>
    <n v="-6633.523353714063"/>
    <n v="0"/>
    <n v="0"/>
    <n v="0"/>
    <n v="-6633.523353714063"/>
  </r>
  <r>
    <x v="7"/>
    <d v="2025-09-04T00:00:00"/>
    <d v="2025-09-24T00:00:00"/>
    <x v="5"/>
    <n v="9"/>
    <n v="55"/>
    <n v="3437.72"/>
    <n v="3361.78"/>
    <n v="184897.90000000002"/>
    <n v="189074.59999999998"/>
    <n v="-4176.6999999999534"/>
    <n v="-1707.8771686173409"/>
    <n v="-5884.5771686172939"/>
    <n v="0"/>
    <n v="0"/>
    <n v="0"/>
    <n v="-5884.5771686172939"/>
  </r>
  <r>
    <x v="8"/>
    <d v="2025-10-03T00:00:00"/>
    <d v="2025-10-24T00:00:00"/>
    <x v="5"/>
    <n v="9"/>
    <n v="50"/>
    <n v="3437.72"/>
    <n v="3361.78"/>
    <n v="168089"/>
    <n v="171886"/>
    <n v="-3797"/>
    <n v="-1552.6156078339461"/>
    <n v="-5349.6156078339463"/>
    <n v="0"/>
    <n v="0"/>
    <n v="0"/>
    <n v="-5349.6156078339463"/>
  </r>
  <r>
    <x v="9"/>
    <d v="2025-11-05T00:00:00"/>
    <d v="2025-11-24T00:00:00"/>
    <x v="5"/>
    <n v="9"/>
    <n v="47"/>
    <n v="3437.72"/>
    <n v="3361.78"/>
    <n v="158003.66"/>
    <n v="161572.84"/>
    <n v="-3569.179999999993"/>
    <n v="-1459.4586713639094"/>
    <n v="-5028.6386713639022"/>
    <n v="0"/>
    <n v="0"/>
    <n v="0"/>
    <n v="-5028.6386713639022"/>
  </r>
  <r>
    <x v="10"/>
    <d v="2025-12-03T00:00:00"/>
    <d v="2025-12-24T00:00:00"/>
    <x v="5"/>
    <n v="9"/>
    <n v="48"/>
    <n v="3437.72"/>
    <n v="3361.78"/>
    <n v="161365.44"/>
    <n v="165010.56"/>
    <n v="-3645.1199999999953"/>
    <n v="-1490.5109835205883"/>
    <n v="-5135.6309835205839"/>
    <n v="0"/>
    <n v="0"/>
    <n v="0"/>
    <n v="-5135.6309835205839"/>
  </r>
  <r>
    <x v="11"/>
    <d v="2026-01-06T00:00:00"/>
    <d v="2026-01-26T00:00:00"/>
    <x v="5"/>
    <n v="9"/>
    <n v="58"/>
    <n v="3437.72"/>
    <n v="3361.78"/>
    <n v="194983.24000000002"/>
    <n v="199387.75999999998"/>
    <n v="-4404.5199999999604"/>
    <n v="-1801.0341050873776"/>
    <n v="-6205.554105087338"/>
    <n v="0"/>
    <n v="0"/>
    <n v="0"/>
    <n v="-6205.554105087338"/>
  </r>
  <r>
    <x v="0"/>
    <d v="2025-02-05T00:00:00"/>
    <d v="2025-02-24T00:00:00"/>
    <x v="6"/>
    <n v="9"/>
    <n v="89"/>
    <n v="3437.72"/>
    <n v="3361.78"/>
    <n v="299198.42000000004"/>
    <n v="305957.07999999996"/>
    <n v="-6758.6599999999162"/>
    <n v="-2763.6557819444238"/>
    <n v="-9522.3157819443404"/>
    <n v="0"/>
    <n v="0"/>
    <n v="0"/>
    <n v="-9522.3157819443404"/>
  </r>
  <r>
    <x v="1"/>
    <d v="2025-03-05T00:00:00"/>
    <d v="2025-03-24T00:00:00"/>
    <x v="6"/>
    <n v="9"/>
    <n v="102"/>
    <n v="3437.72"/>
    <n v="3361.78"/>
    <n v="342901.56"/>
    <n v="350647.44"/>
    <n v="-7745.8800000000047"/>
    <n v="-3167.33583998125"/>
    <n v="-10913.215839981254"/>
    <n v="0"/>
    <n v="0"/>
    <n v="0"/>
    <n v="-10913.215839981254"/>
  </r>
  <r>
    <x v="2"/>
    <d v="2025-04-03T00:00:00"/>
    <d v="2025-04-24T00:00:00"/>
    <x v="6"/>
    <n v="9"/>
    <n v="64"/>
    <n v="3437.72"/>
    <n v="3361.78"/>
    <n v="215153.92000000001"/>
    <n v="220014.07999999999"/>
    <n v="-4860.1599999999744"/>
    <n v="-1987.3479780274508"/>
    <n v="-6847.5079780274255"/>
    <n v="0"/>
    <n v="0"/>
    <n v="0"/>
    <n v="-6847.5079780274255"/>
  </r>
  <r>
    <x v="3"/>
    <d v="2025-05-05T00:00:00"/>
    <d v="2025-05-26T00:00:00"/>
    <x v="6"/>
    <n v="9"/>
    <n v="71"/>
    <n v="3437.72"/>
    <n v="3361.78"/>
    <n v="238686.38"/>
    <n v="244078.12"/>
    <n v="-5391.7399999999907"/>
    <n v="-2204.7141631242034"/>
    <n v="-7596.4541631241937"/>
    <n v="0"/>
    <n v="0"/>
    <n v="0"/>
    <n v="-7596.4541631241937"/>
  </r>
  <r>
    <x v="4"/>
    <d v="2025-06-04T00:00:00"/>
    <d v="2025-06-24T00:00:00"/>
    <x v="6"/>
    <n v="9"/>
    <n v="108"/>
    <n v="3437.72"/>
    <n v="3361.78"/>
    <n v="363072.24000000005"/>
    <n v="371273.75999999995"/>
    <n v="-8201.5199999999022"/>
    <n v="-3353.649712921324"/>
    <n v="-11555.169712921226"/>
    <n v="0"/>
    <n v="0"/>
    <n v="0"/>
    <n v="-11555.169712921226"/>
  </r>
  <r>
    <x v="5"/>
    <d v="2025-07-03T00:00:00"/>
    <d v="2025-07-24T00:00:00"/>
    <x v="6"/>
    <n v="9"/>
    <n v="130"/>
    <n v="3437.72"/>
    <n v="3361.78"/>
    <n v="437031.4"/>
    <n v="446903.6"/>
    <n v="-9872.1999999999534"/>
    <n v="-4036.8005803682599"/>
    <n v="-13909.000580368214"/>
    <n v="0"/>
    <n v="0"/>
    <n v="0"/>
    <n v="-13909.000580368214"/>
  </r>
  <r>
    <x v="6"/>
    <d v="2025-08-05T00:00:00"/>
    <d v="2025-08-25T00:00:00"/>
    <x v="6"/>
    <n v="9"/>
    <n v="151"/>
    <n v="3437.72"/>
    <n v="3361.78"/>
    <n v="507628.78"/>
    <n v="519095.72"/>
    <n v="-11466.939999999944"/>
    <n v="-4688.8991356585175"/>
    <n v="-16155.839135658462"/>
    <n v="0"/>
    <n v="0"/>
    <n v="0"/>
    <n v="-16155.839135658462"/>
  </r>
  <r>
    <x v="7"/>
    <d v="2025-09-04T00:00:00"/>
    <d v="2025-09-24T00:00:00"/>
    <x v="6"/>
    <n v="9"/>
    <n v="145"/>
    <n v="3437.72"/>
    <n v="3361.78"/>
    <n v="487458.10000000003"/>
    <n v="498469.39999999997"/>
    <n v="-11011.29999999993"/>
    <n v="-4502.5852627184431"/>
    <n v="-15513.885262718373"/>
    <n v="0"/>
    <n v="0"/>
    <n v="0"/>
    <n v="-15513.885262718373"/>
  </r>
  <r>
    <x v="8"/>
    <d v="2025-10-03T00:00:00"/>
    <d v="2025-10-24T00:00:00"/>
    <x v="6"/>
    <n v="9"/>
    <n v="126"/>
    <n v="3437.72"/>
    <n v="3361.78"/>
    <n v="423584.28"/>
    <n v="433152.72"/>
    <n v="-9568.4399999999441"/>
    <n v="-3912.5913317415443"/>
    <n v="-13481.031331741488"/>
    <n v="0"/>
    <n v="0"/>
    <n v="0"/>
    <n v="-13481.031331741488"/>
  </r>
  <r>
    <x v="9"/>
    <d v="2025-11-05T00:00:00"/>
    <d v="2025-11-24T00:00:00"/>
    <x v="6"/>
    <n v="9"/>
    <n v="106"/>
    <n v="3437.72"/>
    <n v="3361.78"/>
    <n v="356348.68"/>
    <n v="364398.32"/>
    <n v="-8049.640000000014"/>
    <n v="-3291.5450886079657"/>
    <n v="-11341.185088607979"/>
    <n v="0"/>
    <n v="0"/>
    <n v="0"/>
    <n v="-11341.185088607979"/>
  </r>
  <r>
    <x v="10"/>
    <d v="2025-12-03T00:00:00"/>
    <d v="2025-12-24T00:00:00"/>
    <x v="6"/>
    <n v="9"/>
    <n v="67"/>
    <n v="3437.72"/>
    <n v="3361.78"/>
    <n v="225239.26"/>
    <n v="230327.24"/>
    <n v="-5087.9799999999814"/>
    <n v="-2080.5049144974878"/>
    <n v="-7168.4849144974687"/>
    <n v="0"/>
    <n v="0"/>
    <n v="0"/>
    <n v="-7168.4849144974687"/>
  </r>
  <r>
    <x v="11"/>
    <d v="2026-01-06T00:00:00"/>
    <d v="2026-01-26T00:00:00"/>
    <x v="6"/>
    <n v="9"/>
    <n v="82"/>
    <n v="3437.72"/>
    <n v="3361.78"/>
    <n v="275665.96000000002"/>
    <n v="281893.03999999998"/>
    <n v="-6227.0799999999581"/>
    <n v="-2546.2895968476714"/>
    <n v="-8773.3695968476295"/>
    <n v="0"/>
    <n v="0"/>
    <n v="0"/>
    <n v="-8773.3695968476295"/>
  </r>
  <r>
    <x v="0"/>
    <d v="2025-02-05T00:00:00"/>
    <d v="2025-02-24T00:00:00"/>
    <x v="7"/>
    <n v="9"/>
    <n v="70"/>
    <n v="3437.72"/>
    <n v="3361.78"/>
    <n v="235324.6"/>
    <n v="240640.4"/>
    <n v="-5315.7999999999884"/>
    <n v="-2173.6618509675245"/>
    <n v="-7489.4618509675129"/>
    <n v="0"/>
    <n v="0"/>
    <n v="0"/>
    <n v="-7489.4618509675129"/>
  </r>
  <r>
    <x v="1"/>
    <d v="2025-03-05T00:00:00"/>
    <d v="2025-03-24T00:00:00"/>
    <x v="7"/>
    <n v="9"/>
    <n v="50"/>
    <n v="3437.72"/>
    <n v="3361.78"/>
    <n v="168089"/>
    <n v="171886"/>
    <n v="-3797"/>
    <n v="-1552.6156078339461"/>
    <n v="-5349.6156078339463"/>
    <n v="0"/>
    <n v="0"/>
    <n v="0"/>
    <n v="-5349.6156078339463"/>
  </r>
  <r>
    <x v="2"/>
    <d v="2025-04-03T00:00:00"/>
    <d v="2025-04-24T00:00:00"/>
    <x v="7"/>
    <n v="9"/>
    <n v="67"/>
    <n v="3437.72"/>
    <n v="3361.78"/>
    <n v="225239.26"/>
    <n v="230327.24"/>
    <n v="-5087.9799999999814"/>
    <n v="-2080.5049144974878"/>
    <n v="-7168.4849144974687"/>
    <n v="0"/>
    <n v="0"/>
    <n v="0"/>
    <n v="-7168.4849144974687"/>
  </r>
  <r>
    <x v="3"/>
    <d v="2025-05-05T00:00:00"/>
    <d v="2025-05-26T00:00:00"/>
    <x v="7"/>
    <n v="9"/>
    <n v="71"/>
    <n v="3437.72"/>
    <n v="3361.78"/>
    <n v="238686.38"/>
    <n v="244078.12"/>
    <n v="-5391.7399999999907"/>
    <n v="-2204.7141631242034"/>
    <n v="-7596.4541631241937"/>
    <n v="0"/>
    <n v="0"/>
    <n v="0"/>
    <n v="-7596.4541631241937"/>
  </r>
  <r>
    <x v="4"/>
    <d v="2025-06-04T00:00:00"/>
    <d v="2025-06-24T00:00:00"/>
    <x v="7"/>
    <n v="9"/>
    <n v="64"/>
    <n v="3437.72"/>
    <n v="3361.78"/>
    <n v="215153.92000000001"/>
    <n v="220014.07999999999"/>
    <n v="-4860.1599999999744"/>
    <n v="-1987.3479780274508"/>
    <n v="-6847.5079780274255"/>
    <n v="0"/>
    <n v="0"/>
    <n v="0"/>
    <n v="-6847.5079780274255"/>
  </r>
  <r>
    <x v="5"/>
    <d v="2025-07-03T00:00:00"/>
    <d v="2025-07-24T00:00:00"/>
    <x v="7"/>
    <n v="9"/>
    <n v="72"/>
    <n v="3437.72"/>
    <n v="3361.78"/>
    <n v="242048.16"/>
    <n v="247515.84"/>
    <n v="-5467.679999999993"/>
    <n v="-2235.7664752808823"/>
    <n v="-7703.4464752808753"/>
    <n v="0"/>
    <n v="0"/>
    <n v="0"/>
    <n v="-7703.4464752808753"/>
  </r>
  <r>
    <x v="6"/>
    <d v="2025-08-05T00:00:00"/>
    <d v="2025-08-25T00:00:00"/>
    <x v="7"/>
    <n v="9"/>
    <n v="11"/>
    <n v="3437.72"/>
    <n v="3361.78"/>
    <n v="36979.58"/>
    <n v="37814.92"/>
    <n v="-835.33999999999651"/>
    <n v="-341.57543372346817"/>
    <n v="-1176.9154337234647"/>
    <n v="0"/>
    <n v="0"/>
    <n v="0"/>
    <n v="-1176.9154337234647"/>
  </r>
  <r>
    <x v="7"/>
    <d v="2025-09-04T00:00:00"/>
    <d v="2025-09-24T00:00:00"/>
    <x v="7"/>
    <n v="9"/>
    <n v="62"/>
    <n v="3437.72"/>
    <n v="3361.78"/>
    <n v="208430.36000000002"/>
    <n v="213138.63999999998"/>
    <n v="-4708.2799999999697"/>
    <n v="-1925.2433537140932"/>
    <n v="-6633.523353714063"/>
    <n v="0"/>
    <n v="0"/>
    <n v="0"/>
    <n v="-6633.523353714063"/>
  </r>
  <r>
    <x v="8"/>
    <d v="2025-10-03T00:00:00"/>
    <d v="2025-10-24T00:00:00"/>
    <x v="7"/>
    <n v="9"/>
    <n v="72"/>
    <n v="3437.72"/>
    <n v="3361.78"/>
    <n v="242048.16"/>
    <n v="247515.84"/>
    <n v="-5467.679999999993"/>
    <n v="-2235.7664752808823"/>
    <n v="-7703.4464752808753"/>
    <n v="0"/>
    <n v="0"/>
    <n v="0"/>
    <n v="-7703.4464752808753"/>
  </r>
  <r>
    <x v="9"/>
    <d v="2025-11-05T00:00:00"/>
    <d v="2025-11-24T00:00:00"/>
    <x v="7"/>
    <n v="9"/>
    <n v="72"/>
    <n v="3437.72"/>
    <n v="3361.78"/>
    <n v="242048.16"/>
    <n v="247515.84"/>
    <n v="-5467.679999999993"/>
    <n v="-2235.7664752808823"/>
    <n v="-7703.4464752808753"/>
    <n v="0"/>
    <n v="0"/>
    <n v="0"/>
    <n v="-7703.4464752808753"/>
  </r>
  <r>
    <x v="10"/>
    <d v="2025-12-03T00:00:00"/>
    <d v="2025-12-24T00:00:00"/>
    <x v="7"/>
    <n v="9"/>
    <n v="67"/>
    <n v="3437.72"/>
    <n v="3361.78"/>
    <n v="225239.26"/>
    <n v="230327.24"/>
    <n v="-5087.9799999999814"/>
    <n v="-2080.5049144974878"/>
    <n v="-7168.4849144974687"/>
    <n v="0"/>
    <n v="0"/>
    <n v="0"/>
    <n v="-7168.4849144974687"/>
  </r>
  <r>
    <x v="11"/>
    <d v="2026-01-06T00:00:00"/>
    <d v="2026-01-26T00:00:00"/>
    <x v="7"/>
    <n v="9"/>
    <n v="68"/>
    <n v="3437.72"/>
    <n v="3361.78"/>
    <n v="228601.04"/>
    <n v="233764.96"/>
    <n v="-5163.9199999999837"/>
    <n v="-2111.5572266541667"/>
    <n v="-7275.4772266541504"/>
    <n v="0"/>
    <n v="0"/>
    <n v="0"/>
    <n v="-7275.4772266541504"/>
  </r>
  <r>
    <x v="0"/>
    <d v="2025-02-05T00:00:00"/>
    <d v="2025-02-24T00:00:00"/>
    <x v="8"/>
    <n v="9"/>
    <n v="1315"/>
    <n v="3437.72"/>
    <n v="3361.78"/>
    <n v="4420740.7"/>
    <n v="4520601.8"/>
    <n v="-99861.099999999627"/>
    <n v="-40833.790486032784"/>
    <n v="-140694.89048603241"/>
    <n v="0"/>
    <n v="0"/>
    <n v="0"/>
    <n v="-140694.89048603241"/>
  </r>
  <r>
    <x v="1"/>
    <d v="2025-03-05T00:00:00"/>
    <d v="2025-03-24T00:00:00"/>
    <x v="8"/>
    <n v="9"/>
    <n v="1377"/>
    <n v="3437.72"/>
    <n v="3361.78"/>
    <n v="4629171.0600000005"/>
    <n v="4733740.4399999995"/>
    <n v="-104569.37999999896"/>
    <n v="-42759.033839746873"/>
    <n v="-147328.41383974583"/>
    <n v="0"/>
    <n v="0"/>
    <n v="0"/>
    <n v="-147328.41383974583"/>
  </r>
  <r>
    <x v="2"/>
    <d v="2025-04-03T00:00:00"/>
    <d v="2025-04-24T00:00:00"/>
    <x v="8"/>
    <n v="9"/>
    <n v="791"/>
    <n v="3437.72"/>
    <n v="3361.78"/>
    <n v="2659167.98"/>
    <n v="2719236.52"/>
    <n v="-60068.540000000037"/>
    <n v="-24562.378915933026"/>
    <n v="-84630.918915933056"/>
    <n v="0"/>
    <n v="0"/>
    <n v="0"/>
    <n v="-84630.918915933056"/>
  </r>
  <r>
    <x v="3"/>
    <d v="2025-05-05T00:00:00"/>
    <d v="2025-05-26T00:00:00"/>
    <x v="8"/>
    <n v="9"/>
    <n v="603"/>
    <n v="3437.72"/>
    <n v="3361.78"/>
    <n v="2027153.34"/>
    <n v="2072945.16"/>
    <n v="-45791.819999999832"/>
    <n v="-18724.54423047739"/>
    <n v="-64516.364230477222"/>
    <n v="0"/>
    <n v="0"/>
    <n v="0"/>
    <n v="-64516.364230477222"/>
  </r>
  <r>
    <x v="4"/>
    <d v="2025-06-04T00:00:00"/>
    <d v="2025-06-24T00:00:00"/>
    <x v="8"/>
    <n v="9"/>
    <n v="738"/>
    <n v="3437.72"/>
    <n v="3361.78"/>
    <n v="2480993.64"/>
    <n v="2537037.36"/>
    <n v="-56043.719999999739"/>
    <n v="-22916.606371629045"/>
    <n v="-78960.326371628791"/>
    <n v="0"/>
    <n v="0"/>
    <n v="0"/>
    <n v="-78960.326371628791"/>
  </r>
  <r>
    <x v="5"/>
    <d v="2025-07-03T00:00:00"/>
    <d v="2025-07-24T00:00:00"/>
    <x v="8"/>
    <n v="9"/>
    <n v="849"/>
    <n v="3437.72"/>
    <n v="3361.78"/>
    <n v="2854151.22"/>
    <n v="2918624.28"/>
    <n v="-64473.05999999959"/>
    <n v="-26363.413021020402"/>
    <n v="-90836.473021019992"/>
    <n v="0"/>
    <n v="0"/>
    <n v="0"/>
    <n v="-90836.473021019992"/>
  </r>
  <r>
    <x v="6"/>
    <d v="2025-08-05T00:00:00"/>
    <d v="2025-08-25T00:00:00"/>
    <x v="8"/>
    <n v="9"/>
    <n v="978"/>
    <n v="3437.72"/>
    <n v="3361.78"/>
    <n v="3287820.8400000003"/>
    <n v="3362090.1599999997"/>
    <n v="-74269.319999999367"/>
    <n v="-30369.161289231986"/>
    <n v="-104638.48128923135"/>
    <n v="0"/>
    <n v="0"/>
    <n v="0"/>
    <n v="-104638.48128923135"/>
  </r>
  <r>
    <x v="7"/>
    <d v="2025-09-04T00:00:00"/>
    <d v="2025-09-24T00:00:00"/>
    <x v="8"/>
    <n v="9"/>
    <n v="1000"/>
    <n v="3437.72"/>
    <n v="3361.78"/>
    <n v="3361780"/>
    <n v="3437720"/>
    <n v="-75940"/>
    <n v="-31052.312156678923"/>
    <n v="-106992.31215667892"/>
    <n v="0"/>
    <n v="0"/>
    <n v="0"/>
    <n v="-106992.31215667892"/>
  </r>
  <r>
    <x v="8"/>
    <d v="2025-10-03T00:00:00"/>
    <d v="2025-10-24T00:00:00"/>
    <x v="8"/>
    <n v="9"/>
    <n v="844"/>
    <n v="3437.72"/>
    <n v="3361.78"/>
    <n v="2837342.3200000003"/>
    <n v="2901435.6799999997"/>
    <n v="-64093.359999999404"/>
    <n v="-26208.151460237012"/>
    <n v="-90301.511460236419"/>
    <n v="0"/>
    <n v="0"/>
    <n v="0"/>
    <n v="-90301.511460236419"/>
  </r>
  <r>
    <x v="9"/>
    <d v="2025-11-05T00:00:00"/>
    <d v="2025-11-24T00:00:00"/>
    <x v="8"/>
    <n v="9"/>
    <n v="760"/>
    <n v="3437.72"/>
    <n v="3361.78"/>
    <n v="2554952.8000000003"/>
    <n v="2612667.1999999997"/>
    <n v="-57714.399999999441"/>
    <n v="-23599.757239075981"/>
    <n v="-81314.15723907543"/>
    <n v="0"/>
    <n v="0"/>
    <n v="0"/>
    <n v="-81314.15723907543"/>
  </r>
  <r>
    <x v="10"/>
    <d v="2025-12-03T00:00:00"/>
    <d v="2025-12-24T00:00:00"/>
    <x v="8"/>
    <n v="9"/>
    <n v="748"/>
    <n v="3437.72"/>
    <n v="3361.78"/>
    <n v="2514611.44"/>
    <n v="2571414.56"/>
    <n v="-56803.120000000112"/>
    <n v="-23227.129493195833"/>
    <n v="-80030.249493195937"/>
    <n v="0"/>
    <n v="0"/>
    <n v="0"/>
    <n v="-80030.249493195937"/>
  </r>
  <r>
    <x v="11"/>
    <d v="2026-01-06T00:00:00"/>
    <d v="2026-01-26T00:00:00"/>
    <x v="8"/>
    <n v="9"/>
    <n v="1070"/>
    <n v="3437.72"/>
    <n v="3361.78"/>
    <n v="3597104.6"/>
    <n v="3678360.4"/>
    <n v="-81255.799999999814"/>
    <n v="-33225.974007646444"/>
    <n v="-114481.77400764625"/>
    <n v="0"/>
    <n v="0"/>
    <n v="0"/>
    <n v="-114481.77400764625"/>
  </r>
  <r>
    <x v="0"/>
    <d v="2025-02-05T00:00:00"/>
    <d v="2025-02-24T00:00:00"/>
    <x v="9"/>
    <n v="9"/>
    <n v="7"/>
    <n v="3437.72"/>
    <n v="3361.78"/>
    <n v="23532.460000000003"/>
    <n v="24064.039999999997"/>
    <n v="-531.57999999999447"/>
    <n v="-217.36618509675245"/>
    <n v="-748.94618509674694"/>
    <n v="0"/>
    <n v="0"/>
    <n v="0"/>
    <n v="-748.94618509674694"/>
  </r>
  <r>
    <x v="1"/>
    <d v="2025-03-05T00:00:00"/>
    <d v="2025-03-24T00:00:00"/>
    <x v="9"/>
    <n v="9"/>
    <n v="8"/>
    <n v="3437.72"/>
    <n v="3361.78"/>
    <n v="26894.240000000002"/>
    <n v="27501.759999999998"/>
    <n v="-607.5199999999968"/>
    <n v="-248.41849725343135"/>
    <n v="-855.93849725342818"/>
    <n v="0"/>
    <n v="0"/>
    <n v="0"/>
    <n v="-855.93849725342818"/>
  </r>
  <r>
    <x v="2"/>
    <d v="2025-04-03T00:00:00"/>
    <d v="2025-04-24T00:00:00"/>
    <x v="9"/>
    <n v="9"/>
    <n v="7"/>
    <n v="3437.72"/>
    <n v="3361.78"/>
    <n v="23532.460000000003"/>
    <n v="24064.039999999997"/>
    <n v="-531.57999999999447"/>
    <n v="-217.36618509675245"/>
    <n v="-748.94618509674694"/>
    <n v="0"/>
    <n v="0"/>
    <n v="0"/>
    <n v="-748.94618509674694"/>
  </r>
  <r>
    <x v="3"/>
    <d v="2025-05-05T00:00:00"/>
    <d v="2025-05-26T00:00:00"/>
    <x v="9"/>
    <n v="9"/>
    <n v="3"/>
    <n v="3437.72"/>
    <n v="3361.78"/>
    <n v="10085.34"/>
    <n v="10313.16"/>
    <n v="-227.81999999999971"/>
    <n v="-93.156936470036769"/>
    <n v="-320.97693647003649"/>
    <n v="0"/>
    <n v="0"/>
    <n v="0"/>
    <n v="-320.97693647003649"/>
  </r>
  <r>
    <x v="4"/>
    <d v="2025-06-04T00:00:00"/>
    <d v="2025-06-24T00:00:00"/>
    <x v="9"/>
    <n v="9"/>
    <n v="5"/>
    <n v="3437.72"/>
    <n v="3361.78"/>
    <n v="16808.900000000001"/>
    <n v="17188.599999999999"/>
    <n v="-379.69999999999709"/>
    <n v="-155.2615607833946"/>
    <n v="-534.96156078339163"/>
    <n v="0"/>
    <n v="0"/>
    <n v="0"/>
    <n v="-534.96156078339163"/>
  </r>
  <r>
    <x v="5"/>
    <d v="2025-07-03T00:00:00"/>
    <d v="2025-07-24T00:00:00"/>
    <x v="9"/>
    <n v="9"/>
    <n v="10"/>
    <n v="3437.72"/>
    <n v="3361.78"/>
    <n v="33617.800000000003"/>
    <n v="34377.199999999997"/>
    <n v="-759.39999999999418"/>
    <n v="-310.5231215667892"/>
    <n v="-1069.9231215667833"/>
    <n v="0"/>
    <n v="0"/>
    <n v="0"/>
    <n v="-1069.9231215667833"/>
  </r>
  <r>
    <x v="6"/>
    <d v="2025-08-05T00:00:00"/>
    <d v="2025-08-25T00:00:00"/>
    <x v="9"/>
    <n v="9"/>
    <n v="17"/>
    <n v="3437.72"/>
    <n v="3361.78"/>
    <n v="57150.26"/>
    <n v="58441.24"/>
    <n v="-1290.9799999999959"/>
    <n v="-527.88930666354167"/>
    <n v="-1818.8693066635376"/>
    <n v="0"/>
    <n v="0"/>
    <n v="0"/>
    <n v="-1818.8693066635376"/>
  </r>
  <r>
    <x v="7"/>
    <d v="2025-09-04T00:00:00"/>
    <d v="2025-09-24T00:00:00"/>
    <x v="9"/>
    <n v="9"/>
    <n v="16"/>
    <n v="3437.72"/>
    <n v="3361.78"/>
    <n v="53788.480000000003"/>
    <n v="55003.519999999997"/>
    <n v="-1215.0399999999936"/>
    <n v="-496.83699450686271"/>
    <n v="-1711.8769945068564"/>
    <n v="0"/>
    <n v="0"/>
    <n v="0"/>
    <n v="-1711.8769945068564"/>
  </r>
  <r>
    <x v="8"/>
    <d v="2025-10-03T00:00:00"/>
    <d v="2025-10-24T00:00:00"/>
    <x v="9"/>
    <n v="9"/>
    <n v="8"/>
    <n v="3437.72"/>
    <n v="3361.78"/>
    <n v="26894.240000000002"/>
    <n v="27501.759999999998"/>
    <n v="-607.5199999999968"/>
    <n v="-248.41849725343135"/>
    <n v="-855.93849725342818"/>
    <n v="0"/>
    <n v="0"/>
    <n v="0"/>
    <n v="-855.93849725342818"/>
  </r>
  <r>
    <x v="9"/>
    <d v="2025-11-05T00:00:00"/>
    <d v="2025-11-24T00:00:00"/>
    <x v="9"/>
    <n v="9"/>
    <n v="8"/>
    <n v="3437.72"/>
    <n v="3361.78"/>
    <n v="26894.240000000002"/>
    <n v="27501.759999999998"/>
    <n v="-607.5199999999968"/>
    <n v="-248.41849725343135"/>
    <n v="-855.93849725342818"/>
    <n v="0"/>
    <n v="0"/>
    <n v="0"/>
    <n v="-855.93849725342818"/>
  </r>
  <r>
    <x v="10"/>
    <d v="2025-12-03T00:00:00"/>
    <d v="2025-12-24T00:00:00"/>
    <x v="9"/>
    <n v="9"/>
    <n v="6"/>
    <n v="3437.72"/>
    <n v="3361.78"/>
    <n v="20170.68"/>
    <n v="20626.32"/>
    <n v="-455.63999999999942"/>
    <n v="-186.31387294007354"/>
    <n v="-641.95387294007298"/>
    <n v="0"/>
    <n v="0"/>
    <n v="0"/>
    <n v="-641.95387294007298"/>
  </r>
  <r>
    <x v="11"/>
    <d v="2026-01-06T00:00:00"/>
    <d v="2026-01-26T00:00:00"/>
    <x v="9"/>
    <n v="9"/>
    <n v="7"/>
    <n v="3437.72"/>
    <n v="3361.78"/>
    <n v="23532.460000000003"/>
    <n v="24064.039999999997"/>
    <n v="-531.57999999999447"/>
    <n v="-217.36618509675245"/>
    <n v="-748.94618509674694"/>
    <n v="0"/>
    <n v="0"/>
    <n v="0"/>
    <n v="-748.94618509674694"/>
  </r>
  <r>
    <x v="0"/>
    <d v="2025-02-05T00:00:00"/>
    <d v="2025-02-24T00:00:00"/>
    <x v="10"/>
    <n v="9"/>
    <n v="2"/>
    <n v="3437.72"/>
    <n v="3361.78"/>
    <n v="6723.56"/>
    <n v="6875.44"/>
    <n v="-151.8799999999992"/>
    <n v="-62.104624313357839"/>
    <n v="-213.98462431335705"/>
    <n v="0"/>
    <n v="0"/>
    <n v="0"/>
    <n v="-213.98462431335705"/>
  </r>
  <r>
    <x v="1"/>
    <d v="2025-03-05T00:00:00"/>
    <d v="2025-03-24T00:00:00"/>
    <x v="10"/>
    <n v="9"/>
    <n v="3"/>
    <n v="3437.72"/>
    <n v="3361.78"/>
    <n v="10085.34"/>
    <n v="10313.16"/>
    <n v="-227.81999999999971"/>
    <n v="-93.156936470036769"/>
    <n v="-320.97693647003649"/>
    <n v="0"/>
    <n v="0"/>
    <n v="0"/>
    <n v="-320.97693647003649"/>
  </r>
  <r>
    <x v="2"/>
    <d v="2025-04-03T00:00:00"/>
    <d v="2025-04-24T00:00:00"/>
    <x v="10"/>
    <n v="9"/>
    <n v="2"/>
    <n v="3437.72"/>
    <n v="3361.78"/>
    <n v="6723.56"/>
    <n v="6875.44"/>
    <n v="-151.8799999999992"/>
    <n v="-62.104624313357839"/>
    <n v="-213.98462431335705"/>
    <n v="0"/>
    <n v="0"/>
    <n v="0"/>
    <n v="-213.98462431335705"/>
  </r>
  <r>
    <x v="3"/>
    <d v="2025-05-05T00:00:00"/>
    <d v="2025-05-26T00:00:00"/>
    <x v="10"/>
    <n v="9"/>
    <n v="1"/>
    <n v="3437.72"/>
    <n v="3361.78"/>
    <n v="3361.78"/>
    <n v="3437.72"/>
    <n v="-75.9399999999996"/>
    <n v="-31.052312156678919"/>
    <n v="-106.99231215667852"/>
    <n v="0"/>
    <n v="0"/>
    <n v="0"/>
    <n v="-106.99231215667852"/>
  </r>
  <r>
    <x v="4"/>
    <d v="2025-06-04T00:00:00"/>
    <d v="2025-06-24T00:00:00"/>
    <x v="10"/>
    <n v="9"/>
    <n v="2"/>
    <n v="3437.72"/>
    <n v="3361.78"/>
    <n v="6723.56"/>
    <n v="6875.44"/>
    <n v="-151.8799999999992"/>
    <n v="-62.104624313357839"/>
    <n v="-213.98462431335705"/>
    <n v="0"/>
    <n v="0"/>
    <n v="0"/>
    <n v="-213.98462431335705"/>
  </r>
  <r>
    <x v="5"/>
    <d v="2025-07-03T00:00:00"/>
    <d v="2025-07-24T00:00:00"/>
    <x v="10"/>
    <n v="9"/>
    <n v="3"/>
    <n v="3437.72"/>
    <n v="3361.78"/>
    <n v="10085.34"/>
    <n v="10313.16"/>
    <n v="-227.81999999999971"/>
    <n v="-93.156936470036769"/>
    <n v="-320.97693647003649"/>
    <n v="0"/>
    <n v="0"/>
    <n v="0"/>
    <n v="-320.97693647003649"/>
  </r>
  <r>
    <x v="6"/>
    <d v="2025-08-05T00:00:00"/>
    <d v="2025-08-25T00:00:00"/>
    <x v="10"/>
    <n v="9"/>
    <n v="7"/>
    <n v="3437.72"/>
    <n v="3361.78"/>
    <n v="23532.460000000003"/>
    <n v="24064.039999999997"/>
    <n v="-531.57999999999447"/>
    <n v="-217.36618509675245"/>
    <n v="-748.94618509674694"/>
    <n v="0"/>
    <n v="0"/>
    <n v="0"/>
    <n v="-748.94618509674694"/>
  </r>
  <r>
    <x v="7"/>
    <d v="2025-09-04T00:00:00"/>
    <d v="2025-09-24T00:00:00"/>
    <x v="10"/>
    <n v="9"/>
    <n v="5"/>
    <n v="3437.72"/>
    <n v="3361.78"/>
    <n v="16808.900000000001"/>
    <n v="17188.599999999999"/>
    <n v="-379.69999999999709"/>
    <n v="-155.2615607833946"/>
    <n v="-534.96156078339163"/>
    <n v="0"/>
    <n v="0"/>
    <n v="0"/>
    <n v="-534.96156078339163"/>
  </r>
  <r>
    <x v="8"/>
    <d v="2025-10-03T00:00:00"/>
    <d v="2025-10-24T00:00:00"/>
    <x v="10"/>
    <n v="9"/>
    <n v="2"/>
    <n v="3437.72"/>
    <n v="3361.78"/>
    <n v="6723.56"/>
    <n v="6875.44"/>
    <n v="-151.8799999999992"/>
    <n v="-62.104624313357839"/>
    <n v="-213.98462431335705"/>
    <n v="0"/>
    <n v="0"/>
    <n v="0"/>
    <n v="-213.98462431335705"/>
  </r>
  <r>
    <x v="9"/>
    <d v="2025-11-05T00:00:00"/>
    <d v="2025-11-24T00:00:00"/>
    <x v="10"/>
    <n v="9"/>
    <n v="3"/>
    <n v="3437.72"/>
    <n v="3361.78"/>
    <n v="10085.34"/>
    <n v="10313.16"/>
    <n v="-227.81999999999971"/>
    <n v="-93.156936470036769"/>
    <n v="-320.97693647003649"/>
    <n v="0"/>
    <n v="0"/>
    <n v="0"/>
    <n v="-320.97693647003649"/>
  </r>
  <r>
    <x v="10"/>
    <d v="2025-12-03T00:00:00"/>
    <d v="2025-12-24T00:00:00"/>
    <x v="10"/>
    <n v="9"/>
    <n v="1"/>
    <n v="3437.72"/>
    <n v="3361.78"/>
    <n v="3361.78"/>
    <n v="3437.72"/>
    <n v="-75.9399999999996"/>
    <n v="-31.052312156678919"/>
    <n v="-106.99231215667852"/>
    <n v="0"/>
    <n v="0"/>
    <n v="0"/>
    <n v="-106.99231215667852"/>
  </r>
  <r>
    <x v="11"/>
    <d v="2026-01-06T00:00:00"/>
    <d v="2026-01-26T00:00:00"/>
    <x v="10"/>
    <n v="9"/>
    <n v="2"/>
    <n v="3437.72"/>
    <n v="3361.78"/>
    <n v="6723.56"/>
    <n v="6875.44"/>
    <n v="-151.8799999999992"/>
    <n v="-62.104624313357839"/>
    <n v="-213.98462431335705"/>
    <n v="0"/>
    <n v="0"/>
    <n v="0"/>
    <n v="-213.98462431335705"/>
  </r>
  <r>
    <x v="0"/>
    <d v="2025-02-05T00:00:00"/>
    <d v="2025-02-24T00:00:00"/>
    <x v="11"/>
    <n v="9"/>
    <n v="137"/>
    <n v="3437.72"/>
    <n v="3361.78"/>
    <n v="460563.86000000004"/>
    <n v="470967.63999999996"/>
    <n v="-10403.779999999912"/>
    <n v="-4254.1667654650118"/>
    <n v="-14657.946765464923"/>
    <n v="0"/>
    <n v="0"/>
    <n v="0"/>
    <n v="-14657.946765464923"/>
  </r>
  <r>
    <x v="1"/>
    <d v="2025-03-05T00:00:00"/>
    <d v="2025-03-24T00:00:00"/>
    <x v="11"/>
    <n v="9"/>
    <n v="156"/>
    <n v="3437.72"/>
    <n v="3361.78"/>
    <n v="524437.68000000005"/>
    <n v="536284.31999999995"/>
    <n v="-11846.639999999898"/>
    <n v="-4844.1606964419116"/>
    <n v="-16690.800696441809"/>
    <n v="0"/>
    <n v="0"/>
    <n v="0"/>
    <n v="-16690.800696441809"/>
  </r>
  <r>
    <x v="2"/>
    <d v="2025-04-03T00:00:00"/>
    <d v="2025-04-24T00:00:00"/>
    <x v="11"/>
    <n v="9"/>
    <n v="113"/>
    <n v="3437.72"/>
    <n v="3361.78"/>
    <n v="379881.14"/>
    <n v="388462.36"/>
    <n v="-8581.2199999999721"/>
    <n v="-3508.911273704718"/>
    <n v="-12090.13127370469"/>
    <n v="0"/>
    <n v="0"/>
    <n v="0"/>
    <n v="-12090.13127370469"/>
  </r>
  <r>
    <x v="3"/>
    <d v="2025-05-05T00:00:00"/>
    <d v="2025-05-26T00:00:00"/>
    <x v="11"/>
    <n v="9"/>
    <n v="112"/>
    <n v="3437.72"/>
    <n v="3361.78"/>
    <n v="376519.36000000004"/>
    <n v="385024.63999999996"/>
    <n v="-8505.2799999999115"/>
    <n v="-3477.8589615480391"/>
    <n v="-11983.138961547951"/>
    <n v="0"/>
    <n v="0"/>
    <n v="0"/>
    <n v="-11983.138961547951"/>
  </r>
  <r>
    <x v="4"/>
    <d v="2025-06-04T00:00:00"/>
    <d v="2025-06-24T00:00:00"/>
    <x v="11"/>
    <n v="9"/>
    <n v="142"/>
    <n v="3437.72"/>
    <n v="3361.78"/>
    <n v="477372.76"/>
    <n v="488156.24"/>
    <n v="-10783.479999999981"/>
    <n v="-4409.4283262484068"/>
    <n v="-15192.908326248387"/>
    <n v="0"/>
    <n v="0"/>
    <n v="0"/>
    <n v="-15192.908326248387"/>
  </r>
  <r>
    <x v="5"/>
    <d v="2025-07-03T00:00:00"/>
    <d v="2025-07-24T00:00:00"/>
    <x v="11"/>
    <n v="9"/>
    <n v="165"/>
    <n v="3437.72"/>
    <n v="3361.78"/>
    <n v="554693.70000000007"/>
    <n v="567223.79999999993"/>
    <n v="-12530.09999999986"/>
    <n v="-5123.6315058520222"/>
    <n v="-17653.731505851883"/>
    <n v="0"/>
    <n v="0"/>
    <n v="0"/>
    <n v="-17653.731505851883"/>
  </r>
  <r>
    <x v="6"/>
    <d v="2025-08-05T00:00:00"/>
    <d v="2025-08-25T00:00:00"/>
    <x v="11"/>
    <n v="9"/>
    <n v="185"/>
    <n v="3437.72"/>
    <n v="3361.78"/>
    <n v="621929.30000000005"/>
    <n v="635978.19999999995"/>
    <n v="-14048.899999999907"/>
    <n v="-5744.6777489856004"/>
    <n v="-19793.577748985506"/>
    <n v="0"/>
    <n v="0"/>
    <n v="0"/>
    <n v="-19793.577748985506"/>
  </r>
  <r>
    <x v="7"/>
    <d v="2025-09-04T00:00:00"/>
    <d v="2025-09-24T00:00:00"/>
    <x v="11"/>
    <n v="9"/>
    <n v="191"/>
    <n v="3437.72"/>
    <n v="3361.78"/>
    <n v="642099.98"/>
    <n v="656604.52"/>
    <n v="-14504.540000000037"/>
    <n v="-5930.9916219256747"/>
    <n v="-20435.531621925711"/>
    <n v="0"/>
    <n v="0"/>
    <n v="0"/>
    <n v="-20435.531621925711"/>
  </r>
  <r>
    <x v="8"/>
    <d v="2025-10-03T00:00:00"/>
    <d v="2025-10-24T00:00:00"/>
    <x v="11"/>
    <n v="9"/>
    <n v="140"/>
    <n v="3437.72"/>
    <n v="3361.78"/>
    <n v="470649.2"/>
    <n v="481280.8"/>
    <n v="-10631.599999999977"/>
    <n v="-4347.323701935049"/>
    <n v="-14978.923701935026"/>
    <n v="0"/>
    <n v="0"/>
    <n v="0"/>
    <n v="-14978.923701935026"/>
  </r>
  <r>
    <x v="9"/>
    <d v="2025-11-05T00:00:00"/>
    <d v="2025-11-24T00:00:00"/>
    <x v="11"/>
    <n v="9"/>
    <n v="137"/>
    <n v="3437.72"/>
    <n v="3361.78"/>
    <n v="460563.86000000004"/>
    <n v="470967.63999999996"/>
    <n v="-10403.779999999912"/>
    <n v="-4254.1667654650118"/>
    <n v="-14657.946765464923"/>
    <n v="0"/>
    <n v="0"/>
    <n v="0"/>
    <n v="-14657.946765464923"/>
  </r>
  <r>
    <x v="10"/>
    <d v="2025-12-03T00:00:00"/>
    <d v="2025-12-24T00:00:00"/>
    <x v="11"/>
    <n v="9"/>
    <n v="120"/>
    <n v="3437.72"/>
    <n v="3361.78"/>
    <n v="403413.60000000003"/>
    <n v="412526.39999999997"/>
    <n v="-9112.7999999999302"/>
    <n v="-3726.2774588014704"/>
    <n v="-12839.077458801401"/>
    <n v="0"/>
    <n v="0"/>
    <n v="0"/>
    <n v="-12839.077458801401"/>
  </r>
  <r>
    <x v="11"/>
    <d v="2026-01-06T00:00:00"/>
    <d v="2026-01-26T00:00:00"/>
    <x v="11"/>
    <n v="9"/>
    <n v="128"/>
    <n v="3437.72"/>
    <n v="3361.78"/>
    <n v="430307.84000000003"/>
    <n v="440028.15999999997"/>
    <n v="-9720.3199999999488"/>
    <n v="-3974.6959560549017"/>
    <n v="-13695.015956054851"/>
    <n v="0"/>
    <n v="0"/>
    <n v="0"/>
    <n v="-13695.015956054851"/>
  </r>
  <r>
    <x v="0"/>
    <d v="2025-02-05T00:00:00"/>
    <d v="2025-02-24T00:00:00"/>
    <x v="12"/>
    <n v="9"/>
    <n v="11"/>
    <n v="3437.72"/>
    <n v="3361.78"/>
    <n v="36979.58"/>
    <n v="37814.92"/>
    <n v="-835.33999999999651"/>
    <n v="-341.57543372346817"/>
    <n v="-1176.9154337234647"/>
    <n v="0"/>
    <n v="0"/>
    <n v="0"/>
    <n v="-1176.9154337234647"/>
  </r>
  <r>
    <x v="1"/>
    <d v="2025-03-05T00:00:00"/>
    <d v="2025-03-24T00:00:00"/>
    <x v="12"/>
    <n v="9"/>
    <n v="9"/>
    <n v="3437.72"/>
    <n v="3361.78"/>
    <n v="30256.02"/>
    <n v="30939.48"/>
    <n v="-683.45999999999913"/>
    <n v="-279.47080941011029"/>
    <n v="-962.93080941010942"/>
    <n v="0"/>
    <n v="0"/>
    <n v="0"/>
    <n v="-962.93080941010942"/>
  </r>
  <r>
    <x v="2"/>
    <d v="2025-04-03T00:00:00"/>
    <d v="2025-04-24T00:00:00"/>
    <x v="12"/>
    <n v="9"/>
    <n v="8"/>
    <n v="3437.72"/>
    <n v="3361.78"/>
    <n v="26894.240000000002"/>
    <n v="27501.759999999998"/>
    <n v="-607.5199999999968"/>
    <n v="-248.41849725343135"/>
    <n v="-855.93849725342818"/>
    <n v="0"/>
    <n v="0"/>
    <n v="0"/>
    <n v="-855.93849725342818"/>
  </r>
  <r>
    <x v="3"/>
    <d v="2025-05-05T00:00:00"/>
    <d v="2025-05-26T00:00:00"/>
    <x v="12"/>
    <n v="9"/>
    <n v="10"/>
    <n v="3437.72"/>
    <n v="3361.78"/>
    <n v="33617.800000000003"/>
    <n v="34377.199999999997"/>
    <n v="-759.39999999999418"/>
    <n v="-310.5231215667892"/>
    <n v="-1069.9231215667833"/>
    <n v="0"/>
    <n v="0"/>
    <n v="0"/>
    <n v="-1069.9231215667833"/>
  </r>
  <r>
    <x v="4"/>
    <d v="2025-06-04T00:00:00"/>
    <d v="2025-06-24T00:00:00"/>
    <x v="12"/>
    <n v="9"/>
    <n v="11"/>
    <n v="3437.72"/>
    <n v="3361.78"/>
    <n v="36979.58"/>
    <n v="37814.92"/>
    <n v="-835.33999999999651"/>
    <n v="-341.57543372346817"/>
    <n v="-1176.9154337234647"/>
    <n v="0"/>
    <n v="0"/>
    <n v="0"/>
    <n v="-1176.9154337234647"/>
  </r>
  <r>
    <x v="5"/>
    <d v="2025-07-03T00:00:00"/>
    <d v="2025-07-24T00:00:00"/>
    <x v="12"/>
    <n v="9"/>
    <n v="11"/>
    <n v="3437.72"/>
    <n v="3361.78"/>
    <n v="36979.58"/>
    <n v="37814.92"/>
    <n v="-835.33999999999651"/>
    <n v="-341.57543372346817"/>
    <n v="-1176.9154337234647"/>
    <n v="0"/>
    <n v="0"/>
    <n v="0"/>
    <n v="-1176.9154337234647"/>
  </r>
  <r>
    <x v="6"/>
    <d v="2025-08-05T00:00:00"/>
    <d v="2025-08-25T00:00:00"/>
    <x v="12"/>
    <n v="9"/>
    <n v="14"/>
    <n v="3437.72"/>
    <n v="3361.78"/>
    <n v="47064.920000000006"/>
    <n v="48128.079999999994"/>
    <n v="-1063.1599999999889"/>
    <n v="-434.73237019350489"/>
    <n v="-1497.8923701934939"/>
    <n v="0"/>
    <n v="0"/>
    <n v="0"/>
    <n v="-1497.8923701934939"/>
  </r>
  <r>
    <x v="7"/>
    <d v="2025-09-04T00:00:00"/>
    <d v="2025-09-24T00:00:00"/>
    <x v="12"/>
    <n v="9"/>
    <n v="11"/>
    <n v="3437.72"/>
    <n v="3361.78"/>
    <n v="36979.58"/>
    <n v="37814.92"/>
    <n v="-835.33999999999651"/>
    <n v="-341.57543372346817"/>
    <n v="-1176.9154337234647"/>
    <n v="0"/>
    <n v="0"/>
    <n v="0"/>
    <n v="-1176.9154337234647"/>
  </r>
  <r>
    <x v="8"/>
    <d v="2025-10-03T00:00:00"/>
    <d v="2025-10-24T00:00:00"/>
    <x v="12"/>
    <n v="9"/>
    <n v="12"/>
    <n v="3437.72"/>
    <n v="3361.78"/>
    <n v="40341.360000000001"/>
    <n v="41252.639999999999"/>
    <n v="-911.27999999999884"/>
    <n v="-372.62774588014707"/>
    <n v="-1283.907745880146"/>
    <n v="0"/>
    <n v="0"/>
    <n v="0"/>
    <n v="-1283.907745880146"/>
  </r>
  <r>
    <x v="9"/>
    <d v="2025-11-05T00:00:00"/>
    <d v="2025-11-24T00:00:00"/>
    <x v="12"/>
    <n v="9"/>
    <n v="13"/>
    <n v="3437.72"/>
    <n v="3361.78"/>
    <n v="43703.14"/>
    <n v="44690.36"/>
    <n v="-987.22000000000116"/>
    <n v="-403.68005803682598"/>
    <n v="-1390.9000580368272"/>
    <n v="0"/>
    <n v="0"/>
    <n v="0"/>
    <n v="-1390.9000580368272"/>
  </r>
  <r>
    <x v="10"/>
    <d v="2025-12-03T00:00:00"/>
    <d v="2025-12-24T00:00:00"/>
    <x v="12"/>
    <n v="9"/>
    <n v="10"/>
    <n v="3437.72"/>
    <n v="3361.78"/>
    <n v="33617.800000000003"/>
    <n v="34377.199999999997"/>
    <n v="-759.39999999999418"/>
    <n v="-310.5231215667892"/>
    <n v="-1069.9231215667833"/>
    <n v="0"/>
    <n v="0"/>
    <n v="0"/>
    <n v="-1069.9231215667833"/>
  </r>
  <r>
    <x v="11"/>
    <d v="2026-01-06T00:00:00"/>
    <d v="2026-01-26T00:00:00"/>
    <x v="12"/>
    <n v="9"/>
    <n v="7"/>
    <n v="3437.72"/>
    <n v="3361.78"/>
    <n v="23532.460000000003"/>
    <n v="24064.039999999997"/>
    <n v="-531.57999999999447"/>
    <n v="-217.36618509675245"/>
    <n v="-748.94618509674694"/>
    <n v="0"/>
    <n v="0"/>
    <n v="0"/>
    <n v="-748.94618509674694"/>
  </r>
  <r>
    <x v="0"/>
    <d v="2025-02-05T00:00:00"/>
    <d v="2025-02-24T00:00:00"/>
    <x v="13"/>
    <n v="9"/>
    <n v="0"/>
    <n v="3437.72"/>
    <n v="3361.78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3437.72"/>
    <n v="3361.78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3437.72"/>
    <n v="3361.78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3437.72"/>
    <n v="3361.78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3437.72"/>
    <n v="3361.78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3437.72"/>
    <n v="3361.78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3437.72"/>
    <n v="3361.78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3437.72"/>
    <n v="3361.78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3437.72"/>
    <n v="3361.78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3437.72"/>
    <n v="3361.78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3437.72"/>
    <n v="3361.78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3437.72"/>
    <n v="3361.78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3437.72"/>
    <n v="3361.78"/>
    <n v="124385.86"/>
    <n v="127195.64"/>
    <n v="-2809.7799999999988"/>
    <n v="-1148.9355497971201"/>
    <n v="-3958.7155497971189"/>
    <n v="0"/>
    <n v="0"/>
    <n v="0"/>
    <n v="-3958.7155497971189"/>
  </r>
  <r>
    <x v="1"/>
    <d v="2025-03-05T00:00:00"/>
    <d v="2025-03-24T00:00:00"/>
    <x v="14"/>
    <n v="9"/>
    <n v="42"/>
    <n v="3437.72"/>
    <n v="3361.78"/>
    <n v="141194.76"/>
    <n v="144384.24"/>
    <n v="-3189.4799999999814"/>
    <n v="-1304.1971105805146"/>
    <n v="-4493.6771105804964"/>
    <n v="0"/>
    <n v="0"/>
    <n v="0"/>
    <n v="-4493.6771105804964"/>
  </r>
  <r>
    <x v="2"/>
    <d v="2025-04-03T00:00:00"/>
    <d v="2025-04-24T00:00:00"/>
    <x v="14"/>
    <n v="9"/>
    <n v="30"/>
    <n v="3437.72"/>
    <n v="3361.78"/>
    <n v="100853.40000000001"/>
    <n v="103131.59999999999"/>
    <n v="-2278.1999999999825"/>
    <n v="-931.5693647003676"/>
    <n v="-3209.7693647003503"/>
    <n v="0"/>
    <n v="0"/>
    <n v="0"/>
    <n v="-3209.7693647003503"/>
  </r>
  <r>
    <x v="3"/>
    <d v="2025-05-05T00:00:00"/>
    <d v="2025-05-26T00:00:00"/>
    <x v="14"/>
    <n v="9"/>
    <n v="32"/>
    <n v="3437.72"/>
    <n v="3361.78"/>
    <n v="107576.96000000001"/>
    <n v="110007.03999999999"/>
    <n v="-2430.0799999999872"/>
    <n v="-993.67398901372542"/>
    <n v="-3423.7539890137127"/>
    <n v="0"/>
    <n v="0"/>
    <n v="0"/>
    <n v="-3423.7539890137127"/>
  </r>
  <r>
    <x v="4"/>
    <d v="2025-06-04T00:00:00"/>
    <d v="2025-06-24T00:00:00"/>
    <x v="14"/>
    <n v="9"/>
    <n v="39"/>
    <n v="3437.72"/>
    <n v="3361.78"/>
    <n v="131109.42000000001"/>
    <n v="134071.07999999999"/>
    <n v="-2961.6599999999744"/>
    <n v="-1211.0401741104779"/>
    <n v="-4172.7001741104523"/>
    <n v="0"/>
    <n v="0"/>
    <n v="0"/>
    <n v="-4172.7001741104523"/>
  </r>
  <r>
    <x v="5"/>
    <d v="2025-07-03T00:00:00"/>
    <d v="2025-07-24T00:00:00"/>
    <x v="14"/>
    <n v="9"/>
    <n v="47"/>
    <n v="3437.72"/>
    <n v="3361.78"/>
    <n v="158003.66"/>
    <n v="161572.84"/>
    <n v="-3569.179999999993"/>
    <n v="-1459.4586713639094"/>
    <n v="-5028.6386713639022"/>
    <n v="0"/>
    <n v="0"/>
    <n v="0"/>
    <n v="-5028.6386713639022"/>
  </r>
  <r>
    <x v="6"/>
    <d v="2025-08-05T00:00:00"/>
    <d v="2025-08-25T00:00:00"/>
    <x v="14"/>
    <n v="9"/>
    <n v="53"/>
    <n v="3437.72"/>
    <n v="3361.78"/>
    <n v="178174.34"/>
    <n v="182199.16"/>
    <n v="-4024.820000000007"/>
    <n v="-1645.7725443039828"/>
    <n v="-5670.5925443039896"/>
    <n v="0"/>
    <n v="0"/>
    <n v="0"/>
    <n v="-5670.5925443039896"/>
  </r>
  <r>
    <x v="7"/>
    <d v="2025-09-04T00:00:00"/>
    <d v="2025-09-24T00:00:00"/>
    <x v="14"/>
    <n v="9"/>
    <n v="52"/>
    <n v="3437.72"/>
    <n v="3361.78"/>
    <n v="174812.56"/>
    <n v="178761.44"/>
    <n v="-3948.8800000000047"/>
    <n v="-1614.7202321473039"/>
    <n v="-5563.6002321473088"/>
    <n v="0"/>
    <n v="0"/>
    <n v="0"/>
    <n v="-5563.6002321473088"/>
  </r>
  <r>
    <x v="8"/>
    <d v="2025-10-03T00:00:00"/>
    <d v="2025-10-24T00:00:00"/>
    <x v="14"/>
    <n v="9"/>
    <n v="45"/>
    <n v="3437.72"/>
    <n v="3361.78"/>
    <n v="151280.1"/>
    <n v="154697.4"/>
    <n v="-3417.2999999999884"/>
    <n v="-1397.3540470505516"/>
    <n v="-4814.6540470505397"/>
    <n v="0"/>
    <n v="0"/>
    <n v="0"/>
    <n v="-4814.6540470505397"/>
  </r>
  <r>
    <x v="9"/>
    <d v="2025-11-05T00:00:00"/>
    <d v="2025-11-24T00:00:00"/>
    <x v="14"/>
    <n v="9"/>
    <n v="41"/>
    <n v="3437.72"/>
    <n v="3361.78"/>
    <n v="137832.98000000001"/>
    <n v="140946.51999999999"/>
    <n v="-3113.539999999979"/>
    <n v="-1273.1447984238357"/>
    <n v="-4386.6847984238148"/>
    <n v="0"/>
    <n v="0"/>
    <n v="0"/>
    <n v="-4386.6847984238148"/>
  </r>
  <r>
    <x v="10"/>
    <d v="2025-12-03T00:00:00"/>
    <d v="2025-12-24T00:00:00"/>
    <x v="14"/>
    <n v="9"/>
    <n v="29"/>
    <n v="3437.72"/>
    <n v="3361.78"/>
    <n v="97491.62000000001"/>
    <n v="99693.87999999999"/>
    <n v="-2202.2599999999802"/>
    <n v="-900.51705254368881"/>
    <n v="-3102.777052543669"/>
    <n v="0"/>
    <n v="0"/>
    <n v="0"/>
    <n v="-3102.777052543669"/>
  </r>
  <r>
    <x v="11"/>
    <d v="2026-01-06T00:00:00"/>
    <d v="2026-01-26T00:00:00"/>
    <x v="14"/>
    <n v="9"/>
    <n v="36"/>
    <n v="3437.72"/>
    <n v="3361.78"/>
    <n v="121024.08"/>
    <n v="123757.92"/>
    <n v="-2733.8399999999965"/>
    <n v="-1117.8832376404412"/>
    <n v="-3851.7232376404377"/>
    <n v="0"/>
    <n v="0"/>
    <n v="0"/>
    <n v="-3851.7232376404377"/>
  </r>
  <r>
    <x v="0"/>
    <d v="2025-02-05T00:00:00"/>
    <d v="2025-02-24T00:00:00"/>
    <x v="15"/>
    <n v="9"/>
    <n v="106"/>
    <n v="3437.72"/>
    <n v="3361.78"/>
    <n v="356348.68"/>
    <n v="364398.32"/>
    <n v="-8049.640000000014"/>
    <n v="-3291.5450886079657"/>
    <n v="-11341.185088607979"/>
    <n v="0"/>
    <n v="0"/>
    <n v="0"/>
    <n v="-11341.185088607979"/>
  </r>
  <r>
    <x v="1"/>
    <d v="2025-03-05T00:00:00"/>
    <d v="2025-03-24T00:00:00"/>
    <x v="15"/>
    <n v="9"/>
    <n v="102"/>
    <n v="3437.72"/>
    <n v="3361.78"/>
    <n v="342901.56"/>
    <n v="350647.44"/>
    <n v="-7745.8800000000047"/>
    <n v="-3167.33583998125"/>
    <n v="-10913.215839981254"/>
    <n v="0"/>
    <n v="0"/>
    <n v="0"/>
    <n v="-10913.215839981254"/>
  </r>
  <r>
    <x v="2"/>
    <d v="2025-04-03T00:00:00"/>
    <d v="2025-04-24T00:00:00"/>
    <x v="15"/>
    <n v="9"/>
    <n v="100"/>
    <n v="3437.72"/>
    <n v="3361.78"/>
    <n v="336178"/>
    <n v="343772"/>
    <n v="-7594"/>
    <n v="-3105.2312156678922"/>
    <n v="-10699.231215667893"/>
    <n v="0"/>
    <n v="0"/>
    <n v="0"/>
    <n v="-10699.231215667893"/>
  </r>
  <r>
    <x v="3"/>
    <d v="2025-05-05T00:00:00"/>
    <d v="2025-05-26T00:00:00"/>
    <x v="15"/>
    <n v="9"/>
    <n v="60"/>
    <n v="3437.72"/>
    <n v="3361.78"/>
    <n v="201706.80000000002"/>
    <n v="206263.19999999998"/>
    <n v="-4556.3999999999651"/>
    <n v="-1863.1387294007352"/>
    <n v="-6419.5387294007005"/>
    <n v="0"/>
    <n v="0"/>
    <n v="0"/>
    <n v="-6419.5387294007005"/>
  </r>
  <r>
    <x v="4"/>
    <d v="2025-06-04T00:00:00"/>
    <d v="2025-06-24T00:00:00"/>
    <x v="15"/>
    <n v="9"/>
    <n v="96"/>
    <n v="3437.72"/>
    <n v="3361.78"/>
    <n v="322730.88"/>
    <n v="330021.12"/>
    <n v="-7290.2399999999907"/>
    <n v="-2981.0219670411766"/>
    <n v="-10271.261967041168"/>
    <n v="0"/>
    <n v="0"/>
    <n v="0"/>
    <n v="-10271.261967041168"/>
  </r>
  <r>
    <x v="5"/>
    <d v="2025-07-03T00:00:00"/>
    <d v="2025-07-24T00:00:00"/>
    <x v="15"/>
    <n v="9"/>
    <n v="119"/>
    <n v="3437.72"/>
    <n v="3361.78"/>
    <n v="400051.82"/>
    <n v="409088.68"/>
    <n v="-9036.859999999986"/>
    <n v="-3695.2251466447915"/>
    <n v="-12732.085146644778"/>
    <n v="0"/>
    <n v="0"/>
    <n v="0"/>
    <n v="-12732.085146644778"/>
  </r>
  <r>
    <x v="6"/>
    <d v="2025-08-05T00:00:00"/>
    <d v="2025-08-25T00:00:00"/>
    <x v="15"/>
    <n v="9"/>
    <n v="118"/>
    <n v="3437.72"/>
    <n v="3361.78"/>
    <n v="396690.04000000004"/>
    <n v="405650.95999999996"/>
    <n v="-8960.9199999999255"/>
    <n v="-3664.172834488113"/>
    <n v="-12625.092834488038"/>
    <n v="0"/>
    <n v="0"/>
    <n v="0"/>
    <n v="-12625.092834488038"/>
  </r>
  <r>
    <x v="7"/>
    <d v="2025-09-04T00:00:00"/>
    <d v="2025-09-24T00:00:00"/>
    <x v="15"/>
    <n v="9"/>
    <n v="119"/>
    <n v="3437.72"/>
    <n v="3361.78"/>
    <n v="400051.82"/>
    <n v="409088.68"/>
    <n v="-9036.859999999986"/>
    <n v="-3695.2251466447915"/>
    <n v="-12732.085146644778"/>
    <n v="0"/>
    <n v="0"/>
    <n v="0"/>
    <n v="-12732.085146644778"/>
  </r>
  <r>
    <x v="8"/>
    <d v="2025-10-03T00:00:00"/>
    <d v="2025-10-24T00:00:00"/>
    <x v="15"/>
    <n v="9"/>
    <n v="101"/>
    <n v="3437.72"/>
    <n v="3361.78"/>
    <n v="339539.78"/>
    <n v="347209.72"/>
    <n v="-7669.9399999999441"/>
    <n v="-3136.2835278245711"/>
    <n v="-10806.223527824515"/>
    <n v="0"/>
    <n v="0"/>
    <n v="0"/>
    <n v="-10806.223527824515"/>
  </r>
  <r>
    <x v="9"/>
    <d v="2025-11-05T00:00:00"/>
    <d v="2025-11-24T00:00:00"/>
    <x v="15"/>
    <n v="9"/>
    <n v="106"/>
    <n v="3437.72"/>
    <n v="3361.78"/>
    <n v="356348.68"/>
    <n v="364398.32"/>
    <n v="-8049.640000000014"/>
    <n v="-3291.5450886079657"/>
    <n v="-11341.185088607979"/>
    <n v="0"/>
    <n v="0"/>
    <n v="0"/>
    <n v="-11341.185088607979"/>
  </r>
  <r>
    <x v="10"/>
    <d v="2025-12-03T00:00:00"/>
    <d v="2025-12-24T00:00:00"/>
    <x v="15"/>
    <n v="9"/>
    <n v="35"/>
    <n v="3437.72"/>
    <n v="3361.78"/>
    <n v="117662.3"/>
    <n v="120320.2"/>
    <n v="-2657.8999999999942"/>
    <n v="-1086.8309254837623"/>
    <n v="-3744.7309254837564"/>
    <n v="0"/>
    <n v="0"/>
    <n v="0"/>
    <n v="-3744.7309254837564"/>
  </r>
  <r>
    <x v="11"/>
    <d v="2026-01-06T00:00:00"/>
    <d v="2026-01-26T00:00:00"/>
    <x v="15"/>
    <n v="9"/>
    <n v="103"/>
    <n v="3437.72"/>
    <n v="3361.78"/>
    <n v="346263.34"/>
    <n v="354085.16"/>
    <n v="-7821.8199999999488"/>
    <n v="-3198.388152137929"/>
    <n v="-11020.208152137879"/>
    <n v="0"/>
    <n v="0"/>
    <n v="0"/>
    <n v="-11020.20815213787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8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workbookViewId="0">
      <selection activeCell="D7" sqref="D7"/>
    </sheetView>
  </sheetViews>
  <sheetFormatPr defaultColWidth="8.7109375" defaultRowHeight="12.75" x14ac:dyDescent="0.2"/>
  <sheetData>
    <row r="1" spans="1:2" x14ac:dyDescent="0.2">
      <c r="A1" t="s">
        <v>63</v>
      </c>
    </row>
    <row r="3" spans="1:2" x14ac:dyDescent="0.2">
      <c r="A3">
        <v>1</v>
      </c>
      <c r="B3" s="1" t="s">
        <v>65</v>
      </c>
    </row>
    <row r="4" spans="1:2" x14ac:dyDescent="0.2">
      <c r="A4">
        <v>2</v>
      </c>
      <c r="B4" s="1" t="s">
        <v>64</v>
      </c>
    </row>
    <row r="5" spans="1:2" x14ac:dyDescent="0.2">
      <c r="A5">
        <v>3</v>
      </c>
      <c r="B5" s="1" t="s">
        <v>66</v>
      </c>
    </row>
    <row r="6" spans="1:2" x14ac:dyDescent="0.2">
      <c r="A6">
        <v>4</v>
      </c>
      <c r="B6" s="2" t="s">
        <v>80</v>
      </c>
    </row>
    <row r="7" spans="1:2" x14ac:dyDescent="0.2">
      <c r="A7">
        <v>5</v>
      </c>
      <c r="B7" s="1" t="s">
        <v>67</v>
      </c>
    </row>
    <row r="8" spans="1:2" x14ac:dyDescent="0.2">
      <c r="A8">
        <v>6</v>
      </c>
      <c r="B8" s="1" t="s">
        <v>68</v>
      </c>
    </row>
    <row r="9" spans="1:2" x14ac:dyDescent="0.2">
      <c r="A9">
        <v>7</v>
      </c>
      <c r="B9" s="3" t="s">
        <v>69</v>
      </c>
    </row>
    <row r="10" spans="1:2" x14ac:dyDescent="0.2">
      <c r="A10">
        <v>8</v>
      </c>
      <c r="B10" s="1" t="s">
        <v>72</v>
      </c>
    </row>
    <row r="11" spans="1:2" x14ac:dyDescent="0.2">
      <c r="B11" s="1" t="s">
        <v>73</v>
      </c>
    </row>
    <row r="12" spans="1:2" x14ac:dyDescent="0.2">
      <c r="B12" s="3" t="s">
        <v>74</v>
      </c>
    </row>
    <row r="13" spans="1:2" x14ac:dyDescent="0.2">
      <c r="B13" s="3" t="s">
        <v>75</v>
      </c>
    </row>
    <row r="14" spans="1:2" x14ac:dyDescent="0.2">
      <c r="A14">
        <v>9</v>
      </c>
      <c r="B14" s="1" t="s">
        <v>76</v>
      </c>
    </row>
    <row r="15" spans="1:2" x14ac:dyDescent="0.2">
      <c r="A15">
        <v>10</v>
      </c>
      <c r="B15" s="1" t="s">
        <v>78</v>
      </c>
    </row>
    <row r="16" spans="1:2" x14ac:dyDescent="0.2">
      <c r="A16">
        <v>11</v>
      </c>
      <c r="B16" s="1" t="s">
        <v>79</v>
      </c>
    </row>
  </sheetData>
  <phoneticPr fontId="6" type="noConversion"/>
  <pageMargins left="0.75" right="0.75" top="1" bottom="1" header="0.5" footer="0.5"/>
  <pageSetup scale="83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36B37-5300-4465-A162-3DD5E0D1F129}">
  <dimension ref="A1:E22"/>
  <sheetViews>
    <sheetView tabSelected="1" zoomScaleNormal="100" workbookViewId="0">
      <selection activeCell="A3" sqref="A3"/>
    </sheetView>
  </sheetViews>
  <sheetFormatPr defaultRowHeight="12.75" x14ac:dyDescent="0.2"/>
  <cols>
    <col min="1" max="1" width="51.5703125" bestFit="1" customWidth="1"/>
    <col min="2" max="2" width="13.140625" customWidth="1"/>
    <col min="3" max="3" width="14.140625" bestFit="1" customWidth="1"/>
    <col min="4" max="4" width="14.85546875" customWidth="1"/>
    <col min="5" max="5" width="13.7109375" bestFit="1" customWidth="1"/>
  </cols>
  <sheetData>
    <row r="1" spans="1:5" x14ac:dyDescent="0.2">
      <c r="C1" t="s">
        <v>21</v>
      </c>
      <c r="D1" t="s">
        <v>22</v>
      </c>
      <c r="E1" t="s">
        <v>96</v>
      </c>
    </row>
    <row r="2" spans="1:5" ht="25.5" x14ac:dyDescent="0.2">
      <c r="A2" s="206" t="s">
        <v>103</v>
      </c>
      <c r="B2" s="207" t="s">
        <v>97</v>
      </c>
      <c r="C2" s="204">
        <v>-3619762.4097376089</v>
      </c>
      <c r="D2" s="204">
        <v>-7590040.6758766379</v>
      </c>
      <c r="E2" s="203">
        <f>C2+D2</f>
        <v>-11209803.085614247</v>
      </c>
    </row>
    <row r="3" spans="1:5" ht="13.5" thickBot="1" x14ac:dyDescent="0.25"/>
    <row r="4" spans="1:5" x14ac:dyDescent="0.2">
      <c r="A4" s="196" t="s">
        <v>14</v>
      </c>
      <c r="B4" s="193">
        <f>0.074+0.018</f>
        <v>9.1999999999999998E-2</v>
      </c>
      <c r="C4" s="203">
        <f>$C$2*B4</f>
        <v>-333018.14169586002</v>
      </c>
      <c r="D4" s="203">
        <f>$D$2*B4</f>
        <v>-698283.7421806507</v>
      </c>
      <c r="E4" s="203">
        <f t="shared" ref="E4:E20" si="0">C4+D4</f>
        <v>-1031301.8838765107</v>
      </c>
    </row>
    <row r="5" spans="1:5" x14ac:dyDescent="0.2">
      <c r="A5" s="197" t="s">
        <v>83</v>
      </c>
      <c r="B5" s="191">
        <v>5.0000000000000001E-3</v>
      </c>
      <c r="C5" s="203">
        <f t="shared" ref="C5:C16" si="1">$C$2*B5</f>
        <v>-18098.812048688043</v>
      </c>
      <c r="D5" s="203">
        <f t="shared" ref="D5:D16" si="2">$D$2*B5</f>
        <v>-37950.203379383187</v>
      </c>
      <c r="E5" s="203">
        <f t="shared" si="0"/>
        <v>-56049.01542807123</v>
      </c>
    </row>
    <row r="6" spans="1:5" x14ac:dyDescent="0.2">
      <c r="A6" s="197" t="s">
        <v>54</v>
      </c>
      <c r="B6" s="191">
        <v>1.4999999999999999E-2</v>
      </c>
      <c r="C6" s="203">
        <f t="shared" si="1"/>
        <v>-54296.43614606413</v>
      </c>
      <c r="D6" s="203">
        <f t="shared" si="2"/>
        <v>-113850.61013814957</v>
      </c>
      <c r="E6" s="203">
        <f t="shared" si="0"/>
        <v>-168147.04628421369</v>
      </c>
    </row>
    <row r="7" spans="1:5" x14ac:dyDescent="0.2">
      <c r="A7" s="198" t="s">
        <v>17</v>
      </c>
      <c r="B7" s="193">
        <v>1.2999999999999999E-2</v>
      </c>
      <c r="C7" s="203">
        <f t="shared" si="1"/>
        <v>-47056.91132658891</v>
      </c>
      <c r="D7" s="203">
        <f t="shared" si="2"/>
        <v>-98670.528786396288</v>
      </c>
      <c r="E7" s="203">
        <f t="shared" si="0"/>
        <v>-145727.4401129852</v>
      </c>
    </row>
    <row r="8" spans="1:5" x14ac:dyDescent="0.2">
      <c r="A8" s="197" t="s">
        <v>13</v>
      </c>
      <c r="B8" s="191">
        <v>0.10199999999999999</v>
      </c>
      <c r="C8" s="203">
        <f t="shared" si="1"/>
        <v>-369215.76579323609</v>
      </c>
      <c r="D8" s="203">
        <f t="shared" si="2"/>
        <v>-774184.14893941698</v>
      </c>
      <c r="E8" s="203">
        <f t="shared" si="0"/>
        <v>-1143399.9147326532</v>
      </c>
    </row>
    <row r="9" spans="1:5" x14ac:dyDescent="0.2">
      <c r="A9" s="198" t="s">
        <v>15</v>
      </c>
      <c r="B9" s="193">
        <v>1E-3</v>
      </c>
      <c r="C9" s="203">
        <f t="shared" si="1"/>
        <v>-3619.7624097376088</v>
      </c>
      <c r="D9" s="203">
        <f t="shared" si="2"/>
        <v>-7590.0406758766385</v>
      </c>
      <c r="E9" s="203">
        <f t="shared" si="0"/>
        <v>-11209.803085614247</v>
      </c>
    </row>
    <row r="10" spans="1:5" x14ac:dyDescent="0.2">
      <c r="A10" s="198" t="s">
        <v>57</v>
      </c>
      <c r="B10" s="193">
        <v>5.0000000000000001E-3</v>
      </c>
      <c r="C10" s="203">
        <f t="shared" si="1"/>
        <v>-18098.812048688043</v>
      </c>
      <c r="D10" s="203">
        <f t="shared" si="2"/>
        <v>-37950.203379383187</v>
      </c>
      <c r="E10" s="203">
        <f t="shared" si="0"/>
        <v>-56049.01542807123</v>
      </c>
    </row>
    <row r="11" spans="1:5" x14ac:dyDescent="0.2">
      <c r="A11" s="198" t="s">
        <v>16</v>
      </c>
      <c r="B11" s="193">
        <v>0</v>
      </c>
      <c r="C11" s="203">
        <f t="shared" si="1"/>
        <v>0</v>
      </c>
      <c r="D11" s="203">
        <f t="shared" si="2"/>
        <v>0</v>
      </c>
      <c r="E11" s="203">
        <f t="shared" si="0"/>
        <v>0</v>
      </c>
    </row>
    <row r="12" spans="1:5" x14ac:dyDescent="0.2">
      <c r="A12" s="197" t="s">
        <v>56</v>
      </c>
      <c r="B12" s="191">
        <v>3.0000000000000001E-3</v>
      </c>
      <c r="C12" s="203">
        <f t="shared" si="1"/>
        <v>-10859.287229212827</v>
      </c>
      <c r="D12" s="203">
        <f t="shared" si="2"/>
        <v>-22770.122027629914</v>
      </c>
      <c r="E12" s="203">
        <f t="shared" si="0"/>
        <v>-33629.409256842744</v>
      </c>
    </row>
    <row r="13" spans="1:5" x14ac:dyDescent="0.2">
      <c r="A13" s="197" t="s">
        <v>19</v>
      </c>
      <c r="B13" s="191">
        <f>0.003+0.002</f>
        <v>5.0000000000000001E-3</v>
      </c>
      <c r="C13" s="203">
        <f t="shared" si="1"/>
        <v>-18098.812048688043</v>
      </c>
      <c r="D13" s="203">
        <f t="shared" si="2"/>
        <v>-37950.203379383187</v>
      </c>
      <c r="E13" s="203">
        <f t="shared" si="0"/>
        <v>-56049.01542807123</v>
      </c>
    </row>
    <row r="14" spans="1:5" x14ac:dyDescent="0.2">
      <c r="A14" s="198" t="s">
        <v>8</v>
      </c>
      <c r="B14" s="193">
        <v>1.2999999999999999E-2</v>
      </c>
      <c r="C14" s="203">
        <f t="shared" si="1"/>
        <v>-47056.91132658891</v>
      </c>
      <c r="D14" s="203">
        <f t="shared" si="2"/>
        <v>-98670.528786396288</v>
      </c>
      <c r="E14" s="203">
        <f t="shared" si="0"/>
        <v>-145727.4401129852</v>
      </c>
    </row>
    <row r="15" spans="1:5" x14ac:dyDescent="0.2">
      <c r="A15" s="198" t="s">
        <v>55</v>
      </c>
      <c r="B15" s="193">
        <v>1E-3</v>
      </c>
      <c r="C15" s="203">
        <f t="shared" si="1"/>
        <v>-3619.7624097376088</v>
      </c>
      <c r="D15" s="203">
        <f t="shared" si="2"/>
        <v>-7590.0406758766385</v>
      </c>
      <c r="E15" s="203">
        <f t="shared" si="0"/>
        <v>-11209.803085614247</v>
      </c>
    </row>
    <row r="16" spans="1:5" x14ac:dyDescent="0.2">
      <c r="A16" s="199" t="s">
        <v>9</v>
      </c>
      <c r="B16" s="193">
        <v>5.0000000000000001E-3</v>
      </c>
      <c r="C16" s="203">
        <f t="shared" si="1"/>
        <v>-18098.812048688043</v>
      </c>
      <c r="D16" s="203">
        <f t="shared" si="2"/>
        <v>-37950.203379383187</v>
      </c>
      <c r="E16" s="203">
        <f t="shared" si="0"/>
        <v>-56049.01542807123</v>
      </c>
    </row>
    <row r="17" spans="1:5" ht="24" x14ac:dyDescent="0.2">
      <c r="A17" s="200" t="s">
        <v>43</v>
      </c>
      <c r="B17" s="192"/>
      <c r="C17" s="194">
        <f>SUM(C4:C16)</f>
        <v>-941138.22653177823</v>
      </c>
      <c r="D17" s="194">
        <f>SUM(D4:D16)</f>
        <v>-1973410.5757279256</v>
      </c>
      <c r="E17" s="194">
        <f>SUM(E4:E16)</f>
        <v>-2914548.802259705</v>
      </c>
    </row>
    <row r="18" spans="1:5" x14ac:dyDescent="0.2">
      <c r="A18" s="201" t="s">
        <v>21</v>
      </c>
      <c r="B18" s="191">
        <v>0.37</v>
      </c>
      <c r="C18" s="203">
        <f>$C$2*B18</f>
        <v>-1339312.0916029152</v>
      </c>
      <c r="D18" s="203">
        <f>$D$2*B18</f>
        <v>-2808315.0500743561</v>
      </c>
      <c r="E18" s="203">
        <f t="shared" si="0"/>
        <v>-4147627.1416772716</v>
      </c>
    </row>
    <row r="19" spans="1:5" x14ac:dyDescent="0.2">
      <c r="A19" s="198" t="s">
        <v>22</v>
      </c>
      <c r="B19" s="193">
        <v>0.35399999999999998</v>
      </c>
      <c r="C19" s="203">
        <f t="shared" ref="C19:C20" si="3">$C$2*B19</f>
        <v>-1281395.8930471134</v>
      </c>
      <c r="D19" s="203">
        <f t="shared" ref="D19:D20" si="4">$D$2*B19</f>
        <v>-2686874.3992603295</v>
      </c>
      <c r="E19" s="203">
        <f t="shared" si="0"/>
        <v>-3968270.292307443</v>
      </c>
    </row>
    <row r="20" spans="1:5" x14ac:dyDescent="0.2">
      <c r="A20" s="199" t="s">
        <v>81</v>
      </c>
      <c r="B20" s="193">
        <v>1.6E-2</v>
      </c>
      <c r="C20" s="203">
        <f t="shared" si="3"/>
        <v>-57916.19855580174</v>
      </c>
      <c r="D20" s="203">
        <f t="shared" si="4"/>
        <v>-121440.65081402622</v>
      </c>
      <c r="E20" s="203">
        <f t="shared" si="0"/>
        <v>-179356.84936982795</v>
      </c>
    </row>
    <row r="21" spans="1:5" ht="24" x14ac:dyDescent="0.2">
      <c r="A21" s="200" t="s">
        <v>51</v>
      </c>
      <c r="B21" s="195"/>
      <c r="C21" s="205">
        <f>SUM(C18:C20)</f>
        <v>-2678624.1832058304</v>
      </c>
      <c r="D21" s="205">
        <f>SUM(D18:D20)</f>
        <v>-5616630.1001487123</v>
      </c>
      <c r="E21" s="205">
        <f>SUM(E18:E20)</f>
        <v>-8295254.2833545422</v>
      </c>
    </row>
    <row r="22" spans="1:5" ht="13.5" thickBot="1" x14ac:dyDescent="0.25">
      <c r="A22" s="202" t="s">
        <v>44</v>
      </c>
      <c r="B22" s="190"/>
      <c r="C22" s="203">
        <f>C17+C21</f>
        <v>-3619762.4097376084</v>
      </c>
      <c r="D22" s="203">
        <f>D17+D21</f>
        <v>-7590040.6758766379</v>
      </c>
      <c r="E22" s="203">
        <f>E17+E21</f>
        <v>-11209803.085614247</v>
      </c>
    </row>
  </sheetData>
  <pageMargins left="0.7" right="0.7" top="0.75" bottom="0.75" header="0.3" footer="0.3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39"/>
  <sheetViews>
    <sheetView topLeftCell="A8" zoomScale="85" zoomScaleNormal="85" zoomScaleSheetLayoutView="100" workbookViewId="0">
      <selection activeCell="J11" sqref="J11"/>
    </sheetView>
  </sheetViews>
  <sheetFormatPr defaultColWidth="33.28515625" defaultRowHeight="12.75" x14ac:dyDescent="0.2"/>
  <cols>
    <col min="1" max="1" width="9.140625" customWidth="1"/>
    <col min="2" max="2" width="14" customWidth="1"/>
    <col min="3" max="3" width="21.85546875" customWidth="1"/>
    <col min="4" max="4" width="14.7109375" customWidth="1"/>
    <col min="5" max="5" width="16.5703125" customWidth="1"/>
    <col min="6" max="14" width="14" customWidth="1"/>
    <col min="15" max="15" width="15" customWidth="1"/>
    <col min="16" max="108" width="31.7109375" customWidth="1"/>
    <col min="109" max="109" width="11.42578125" customWidth="1"/>
  </cols>
  <sheetData>
    <row r="1" spans="2:17" x14ac:dyDescent="0.2">
      <c r="C1" s="240" t="str">
        <f>+Transactions!B1</f>
        <v>AEPTCo Formula Rate -- FERC Docket ER18-195</v>
      </c>
      <c r="D1" s="240"/>
      <c r="E1" s="240"/>
      <c r="F1" s="240"/>
      <c r="G1" s="240"/>
      <c r="H1" s="240"/>
      <c r="I1" s="240"/>
      <c r="J1" s="4">
        <v>2024</v>
      </c>
    </row>
    <row r="2" spans="2:17" x14ac:dyDescent="0.2">
      <c r="C2" s="240" t="s">
        <v>36</v>
      </c>
      <c r="D2" s="240"/>
      <c r="E2" s="240"/>
      <c r="F2" s="240"/>
      <c r="G2" s="240"/>
      <c r="H2" s="240"/>
      <c r="I2" s="240"/>
    </row>
    <row r="3" spans="2:17" x14ac:dyDescent="0.2">
      <c r="C3" s="240" t="str">
        <f>"for period 01/01/"&amp;F8&amp;" - 12/31/"&amp;F8</f>
        <v>for period 01/01/2025 - 12/31/2025</v>
      </c>
      <c r="D3" s="240"/>
      <c r="E3" s="240"/>
      <c r="F3" s="240"/>
      <c r="G3" s="240"/>
      <c r="H3" s="240"/>
      <c r="I3" s="240"/>
    </row>
    <row r="4" spans="2:17" x14ac:dyDescent="0.2">
      <c r="C4" s="240" t="s">
        <v>94</v>
      </c>
      <c r="D4" s="240"/>
      <c r="E4" s="240"/>
      <c r="F4" s="240"/>
      <c r="G4" s="240"/>
      <c r="H4" s="240"/>
      <c r="I4" s="240"/>
    </row>
    <row r="5" spans="2:17" x14ac:dyDescent="0.2">
      <c r="C5" s="5" t="str">
        <f>"Prepared:  May 24_, "&amp;J1+1&amp;""</f>
        <v>Prepared:  May 24_, 2025</v>
      </c>
      <c r="D5" s="6"/>
    </row>
    <row r="6" spans="2:17" x14ac:dyDescent="0.2">
      <c r="C6" s="7"/>
    </row>
    <row r="7" spans="2:17" x14ac:dyDescent="0.2">
      <c r="C7" s="8"/>
    </row>
    <row r="8" spans="2:17" ht="27.75" customHeight="1" thickBot="1" x14ac:dyDescent="0.25">
      <c r="F8" s="9">
        <v>2025</v>
      </c>
    </row>
    <row r="9" spans="2:17" ht="20.25" customHeight="1" x14ac:dyDescent="0.2">
      <c r="E9" s="10" t="s">
        <v>93</v>
      </c>
      <c r="F9" s="11"/>
      <c r="G9" s="12"/>
      <c r="H9" s="13"/>
    </row>
    <row r="10" spans="2:17" ht="42" customHeight="1" thickBot="1" x14ac:dyDescent="0.25">
      <c r="B10" s="14"/>
      <c r="E10" s="15" t="str">
        <f>"(per "&amp;$F8&amp;" Projections "&amp;$F8&amp;")"</f>
        <v>(per 2025 Projections 2025)</v>
      </c>
      <c r="F10" s="16" t="str">
        <f>"(per "&amp;F8+1&amp;" Update of May "&amp;F8+1&amp;")"</f>
        <v>(per 2026 Update of May 2026)</v>
      </c>
      <c r="G10" s="17"/>
      <c r="H10" s="16"/>
    </row>
    <row r="11" spans="2:17" ht="21.75" customHeight="1" x14ac:dyDescent="0.2">
      <c r="B11" s="18"/>
      <c r="C11" s="19" t="s">
        <v>39</v>
      </c>
      <c r="D11" s="20" t="s">
        <v>37</v>
      </c>
      <c r="E11" s="21">
        <f>Transactions!K2</f>
        <v>356013433.02125031</v>
      </c>
      <c r="F11" s="22"/>
      <c r="G11" s="23"/>
      <c r="H11" s="24"/>
    </row>
    <row r="12" spans="2:17" ht="21.75" customHeight="1" x14ac:dyDescent="0.2">
      <c r="B12" s="18"/>
      <c r="C12" s="25"/>
      <c r="D12" s="26" t="s">
        <v>42</v>
      </c>
      <c r="E12" s="27"/>
      <c r="F12" s="28">
        <f>+Transactions!J2</f>
        <v>355921264.30377412</v>
      </c>
      <c r="G12" s="29"/>
      <c r="H12" s="30"/>
    </row>
    <row r="13" spans="2:17" ht="21.75" customHeight="1" x14ac:dyDescent="0.2">
      <c r="B13" s="31"/>
      <c r="C13" s="32" t="s">
        <v>40</v>
      </c>
      <c r="D13" s="33" t="s">
        <v>38</v>
      </c>
      <c r="E13" s="34">
        <f>Transactions!K3</f>
        <v>3437.72</v>
      </c>
      <c r="F13" s="30"/>
      <c r="G13" s="35"/>
      <c r="H13" s="36"/>
    </row>
    <row r="14" spans="2:17" ht="21.75" customHeight="1" thickBot="1" x14ac:dyDescent="0.25">
      <c r="B14" s="14"/>
      <c r="C14" s="37"/>
      <c r="D14" s="38" t="s">
        <v>41</v>
      </c>
      <c r="E14" s="39"/>
      <c r="F14" s="40">
        <f>+Transactions!J3</f>
        <v>3361.78</v>
      </c>
      <c r="G14" s="41"/>
      <c r="H14" s="30"/>
    </row>
    <row r="15" spans="2:17" x14ac:dyDescent="0.2">
      <c r="B15" s="18"/>
    </row>
    <row r="16" spans="2:17" x14ac:dyDescent="0.2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x14ac:dyDescent="0.2">
      <c r="C17" s="8"/>
      <c r="L17" s="1"/>
      <c r="M17" s="46"/>
      <c r="N17" s="46"/>
      <c r="O17" s="46"/>
      <c r="P17" s="46"/>
      <c r="Q17" s="46"/>
    </row>
    <row r="18" spans="2:17" x14ac:dyDescent="0.2">
      <c r="M18" s="46"/>
      <c r="N18" s="46"/>
      <c r="O18" s="46"/>
      <c r="P18" s="46"/>
      <c r="Q18" s="46"/>
    </row>
    <row r="19" spans="2:17" ht="21" customHeight="1" thickBot="1" x14ac:dyDescent="0.25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92</v>
      </c>
      <c r="I19" s="48" t="s">
        <v>91</v>
      </c>
      <c r="M19" s="46"/>
      <c r="N19" s="46"/>
      <c r="O19" s="46"/>
      <c r="P19" s="46"/>
      <c r="Q19" s="46"/>
    </row>
    <row r="20" spans="2:17" ht="53.25" customHeight="1" x14ac:dyDescent="0.2">
      <c r="C20" s="49" t="s">
        <v>50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98</v>
      </c>
      <c r="G20" s="52" t="s">
        <v>99</v>
      </c>
      <c r="H20" s="52" t="s">
        <v>102</v>
      </c>
      <c r="I20" s="210" t="s">
        <v>100</v>
      </c>
      <c r="M20" s="46"/>
      <c r="N20" s="46"/>
      <c r="O20" s="46"/>
      <c r="P20" s="46"/>
      <c r="Q20" s="46"/>
    </row>
    <row r="21" spans="2:17" x14ac:dyDescent="0.2">
      <c r="B21" s="53"/>
      <c r="C21" s="54" t="s">
        <v>14</v>
      </c>
      <c r="D21" s="55">
        <f>GETPIVOTDATA("Sum of "&amp;T(Transactions!$J$19),Pivot!$A$3,"Customer",C21)</f>
        <v>34444797.879999995</v>
      </c>
      <c r="E21" s="55">
        <f>GETPIVOTDATA("Sum of "&amp;T(Transactions!$K$19),Pivot!$A$3,"Customer",C21)</f>
        <v>35222879.120000005</v>
      </c>
      <c r="F21" s="55">
        <f>D21-E21</f>
        <v>-778081.24000000954</v>
      </c>
      <c r="G21" s="46">
        <f>+GETPIVOTDATA("Sum of "&amp;T(Transactions!$M$19),Pivot!$A$3,"Customer","AECC")</f>
        <v>-318161.99035733222</v>
      </c>
      <c r="H21" s="46">
        <f>-'20XX NOLC Refund Detail'!E4</f>
        <v>1031301.8838765107</v>
      </c>
      <c r="I21" s="56">
        <f>F21+G21+H21</f>
        <v>-64941.346480831038</v>
      </c>
      <c r="J21" s="53"/>
      <c r="M21" s="46"/>
      <c r="N21" s="46"/>
      <c r="O21" s="46"/>
      <c r="P21" s="46"/>
      <c r="Q21" s="46"/>
    </row>
    <row r="22" spans="2:17" x14ac:dyDescent="0.2">
      <c r="B22" s="53"/>
      <c r="C22" s="57" t="s">
        <v>83</v>
      </c>
      <c r="D22" s="55">
        <f>GETPIVOTDATA("Sum of "&amp;T(Transactions!$J$19),Pivot!$A$3,"Customer",C22)</f>
        <v>1724593.1400000001</v>
      </c>
      <c r="E22" s="55">
        <f>GETPIVOTDATA("Sum of "&amp;T(Transactions!$K$19),Pivot!$A$3,"Customer",C22)</f>
        <v>1763550.3599999999</v>
      </c>
      <c r="F22" s="55">
        <f>D22-E22</f>
        <v>-38957.219999999739</v>
      </c>
      <c r="G22" s="46">
        <f>+GETPIVOTDATA("Sum of "&amp;T(Transactions!$M$19),Pivot!$A$3,"Customer","AECI")</f>
        <v>-15929.836136376287</v>
      </c>
      <c r="H22" s="46">
        <f>-'20XX NOLC Refund Detail'!E5</f>
        <v>56049.01542807123</v>
      </c>
      <c r="I22" s="56">
        <f t="shared" ref="I22:I33" si="0">F22+G22+H22</f>
        <v>1161.9592916952024</v>
      </c>
      <c r="J22" s="53"/>
      <c r="M22" s="46"/>
      <c r="N22" s="46"/>
      <c r="O22" s="46"/>
      <c r="P22" s="46"/>
      <c r="Q22" s="46"/>
    </row>
    <row r="23" spans="2:17" x14ac:dyDescent="0.2">
      <c r="B23" s="53"/>
      <c r="C23" s="57" t="s">
        <v>54</v>
      </c>
      <c r="D23" s="55">
        <f>GETPIVOTDATA("Sum of "&amp;T(Transactions!$J$19),Pivot!$A$3,"Customer",C23)</f>
        <v>5802432.2800000003</v>
      </c>
      <c r="E23" s="55">
        <f>GETPIVOTDATA("Sum of "&amp;T(Transactions!$K$19),Pivot!$A$3,"Customer",C23)</f>
        <v>5933504.7199999997</v>
      </c>
      <c r="F23" s="55">
        <f t="shared" ref="F23:F35" si="1">D23-E23</f>
        <v>-131072.43999999948</v>
      </c>
      <c r="G23" s="46">
        <f>+GETPIVOTDATA("Sum of "&amp;T(Transactions!$M$19),Pivot!$A$3,"Customer","Bentonville, AR")</f>
        <v>-53596.290782427823</v>
      </c>
      <c r="H23" s="46">
        <f>-'20XX NOLC Refund Detail'!E6</f>
        <v>168147.04628421369</v>
      </c>
      <c r="I23" s="56">
        <f t="shared" si="0"/>
        <v>-16521.68449821361</v>
      </c>
      <c r="J23" s="53"/>
      <c r="M23" s="46"/>
      <c r="N23" s="46"/>
      <c r="O23" s="46"/>
      <c r="P23" s="46"/>
      <c r="Q23" s="46"/>
    </row>
    <row r="24" spans="2:17" x14ac:dyDescent="0.2">
      <c r="B24" s="53"/>
      <c r="C24" s="54" t="s">
        <v>17</v>
      </c>
      <c r="D24" s="55">
        <f>GETPIVOTDATA("Sum of "&amp;T(Transactions!$J$19),Pivot!$A$3,"Customer",C24)</f>
        <v>3916473.6999999997</v>
      </c>
      <c r="E24" s="55">
        <f>GETPIVOTDATA("Sum of "&amp;T(Transactions!$K$19),Pivot!$A$3,"Customer",C24)</f>
        <v>4004943.8000000003</v>
      </c>
      <c r="F24" s="55">
        <f t="shared" si="1"/>
        <v>-88470.100000000559</v>
      </c>
      <c r="G24" s="46">
        <f>+GETPIVOTDATA("Sum of "&amp;T(Transactions!$M$19),Pivot!$A$3,"Customer","Coffeyville, KS")</f>
        <v>-36175.943662530946</v>
      </c>
      <c r="H24" s="46">
        <f>-'20XX NOLC Refund Detail'!E7</f>
        <v>145727.4401129852</v>
      </c>
      <c r="I24" s="56">
        <f t="shared" si="0"/>
        <v>21081.3964504537</v>
      </c>
      <c r="J24" s="53"/>
      <c r="M24" s="46"/>
      <c r="N24" s="46"/>
      <c r="O24" s="46"/>
      <c r="P24" s="46"/>
      <c r="Q24" s="46"/>
    </row>
    <row r="25" spans="2:17" x14ac:dyDescent="0.2">
      <c r="B25" s="53"/>
      <c r="C25" s="57" t="s">
        <v>13</v>
      </c>
      <c r="D25" s="55">
        <f>GETPIVOTDATA("Sum of "&amp;T(Transactions!$J$19),Pivot!$A$3,"Customer",C25)</f>
        <v>37224989.940000005</v>
      </c>
      <c r="E25" s="55">
        <f>GETPIVOTDATA("Sum of "&amp;T(Transactions!$K$19),Pivot!$A$3,"Customer",C25)</f>
        <v>38065873.559999995</v>
      </c>
      <c r="F25" s="55">
        <f t="shared" si="1"/>
        <v>-840883.61999998987</v>
      </c>
      <c r="G25" s="46">
        <f>+GETPIVOTDATA("Sum of "&amp;T(Transactions!$M$19),Pivot!$A$3,"Customer","ETEC")</f>
        <v>-343842.25251090573</v>
      </c>
      <c r="H25" s="46">
        <f>-'20XX NOLC Refund Detail'!E8</f>
        <v>1143399.9147326532</v>
      </c>
      <c r="I25" s="56">
        <f t="shared" si="0"/>
        <v>-41325.957778242417</v>
      </c>
      <c r="J25" s="53"/>
      <c r="L25" s="1"/>
      <c r="M25" s="46"/>
      <c r="N25" s="46"/>
      <c r="O25" s="46"/>
      <c r="P25" s="46"/>
      <c r="Q25" s="46"/>
    </row>
    <row r="26" spans="2:17" x14ac:dyDescent="0.2">
      <c r="B26" s="53"/>
      <c r="C26" s="54" t="s">
        <v>15</v>
      </c>
      <c r="D26" s="55">
        <f>GETPIVOTDATA("Sum of "&amp;T(Transactions!$J$19),Pivot!$A$3,"Customer",C26)</f>
        <v>342901.56000000006</v>
      </c>
      <c r="E26" s="55">
        <f>GETPIVOTDATA("Sum of "&amp;T(Transactions!$K$19),Pivot!$A$3,"Customer",C26)</f>
        <v>350647.43999999994</v>
      </c>
      <c r="F26" s="55">
        <f t="shared" si="1"/>
        <v>-7745.8799999998882</v>
      </c>
      <c r="G26" s="46">
        <f>+GETPIVOTDATA("Sum of "&amp;T(Transactions!$M$19),Pivot!$A$3,"Customer","Greenbelt")</f>
        <v>-3167.3358399812496</v>
      </c>
      <c r="H26" s="46">
        <f>-'20XX NOLC Refund Detail'!E9</f>
        <v>11209.803085614247</v>
      </c>
      <c r="I26" s="56">
        <f t="shared" si="0"/>
        <v>296.58724563310898</v>
      </c>
      <c r="J26" s="53"/>
      <c r="K26" s="58"/>
      <c r="L26" s="58"/>
      <c r="M26" s="58"/>
      <c r="N26" s="58"/>
      <c r="O26" s="46"/>
      <c r="P26" s="46"/>
      <c r="Q26" s="46"/>
    </row>
    <row r="27" spans="2:17" x14ac:dyDescent="0.2">
      <c r="B27" s="53"/>
      <c r="C27" s="54" t="s">
        <v>57</v>
      </c>
      <c r="D27" s="55">
        <f>GETPIVOTDATA("Sum of "&amp;T(Transactions!$J$19),Pivot!$A$3,"Customer",C27)</f>
        <v>1623739.7400000002</v>
      </c>
      <c r="E27" s="55">
        <f>GETPIVOTDATA("Sum of "&amp;T(Transactions!$K$19),Pivot!$A$3,"Customer",C27)</f>
        <v>1660418.7599999998</v>
      </c>
      <c r="F27" s="55">
        <f t="shared" si="1"/>
        <v>-36679.019999999553</v>
      </c>
      <c r="G27" s="46">
        <f>+GETPIVOTDATA("Sum of "&amp;T(Transactions!$M$19),Pivot!$A$3,"Customer","Hope, AR")</f>
        <v>-14998.266771675919</v>
      </c>
      <c r="H27" s="46">
        <f>-'20XX NOLC Refund Detail'!E10</f>
        <v>56049.01542807123</v>
      </c>
      <c r="I27" s="56">
        <f t="shared" si="0"/>
        <v>4371.7286563957605</v>
      </c>
      <c r="J27" s="53"/>
      <c r="K27" s="58"/>
      <c r="L27" s="58"/>
      <c r="M27" s="58"/>
      <c r="N27" s="58"/>
      <c r="O27" s="46"/>
      <c r="P27" s="46"/>
      <c r="Q27" s="46"/>
    </row>
    <row r="28" spans="2:17" x14ac:dyDescent="0.2">
      <c r="B28" s="53"/>
      <c r="C28" s="54" t="s">
        <v>16</v>
      </c>
      <c r="D28" s="55">
        <f>GETPIVOTDATA("Sum of "&amp;T(Transactions!$J$19),Pivot!$A$3,"Customer",C28)</f>
        <v>110938.73999999999</v>
      </c>
      <c r="E28" s="55">
        <f>GETPIVOTDATA("Sum of "&amp;T(Transactions!$K$19),Pivot!$A$3,"Customer",C28)</f>
        <v>113444.76000000001</v>
      </c>
      <c r="F28" s="55">
        <f t="shared" si="1"/>
        <v>-2506.0200000000186</v>
      </c>
      <c r="G28" s="46">
        <f>+GETPIVOTDATA("Sum of "&amp;T(Transactions!$M$19),Pivot!$A$3,"Customer","Lighthouse")</f>
        <v>-1024.7263011704042</v>
      </c>
      <c r="H28" s="46">
        <f>-'20XX NOLC Refund Detail'!E11</f>
        <v>0</v>
      </c>
      <c r="I28" s="56">
        <f t="shared" si="0"/>
        <v>-3530.7463011704231</v>
      </c>
      <c r="J28" s="53"/>
      <c r="M28" s="46"/>
      <c r="N28" s="46"/>
      <c r="O28" s="46"/>
      <c r="P28" s="46"/>
      <c r="Q28" s="46"/>
    </row>
    <row r="29" spans="2:17" x14ac:dyDescent="0.2">
      <c r="B29" s="53"/>
      <c r="C29" s="57" t="s">
        <v>56</v>
      </c>
      <c r="D29" s="55">
        <f>GETPIVOTDATA("Sum of "&amp;T(Transactions!$J$19),Pivot!$A$3,"Customer",C29)</f>
        <v>0</v>
      </c>
      <c r="E29" s="55">
        <f>GETPIVOTDATA("Sum of "&amp;T(Transactions!$K$19),Pivot!$A$3,"Customer",C29)</f>
        <v>0</v>
      </c>
      <c r="F29" s="55">
        <f t="shared" si="1"/>
        <v>0</v>
      </c>
      <c r="G29" s="46">
        <f>+GETPIVOTDATA("Sum of "&amp;T(Transactions!$M$19),Pivot!$A$3,"Customer","Minden, LA")</f>
        <v>0</v>
      </c>
      <c r="H29" s="46">
        <f>-'20XX NOLC Refund Detail'!E12</f>
        <v>33629.409256842744</v>
      </c>
      <c r="I29" s="56">
        <f t="shared" si="0"/>
        <v>33629.409256842744</v>
      </c>
      <c r="J29" s="53"/>
      <c r="M29" s="46"/>
      <c r="N29" s="46"/>
      <c r="O29" s="46"/>
      <c r="P29" s="46"/>
      <c r="Q29" s="46"/>
    </row>
    <row r="30" spans="2:17" x14ac:dyDescent="0.2">
      <c r="B30" s="53"/>
      <c r="C30" s="57" t="s">
        <v>19</v>
      </c>
      <c r="D30" s="55">
        <f>GETPIVOTDATA("Sum of "&amp;T(Transactions!$J$19),Pivot!$A$3,"Customer",C30)</f>
        <v>2507887.88</v>
      </c>
      <c r="E30" s="55">
        <f>GETPIVOTDATA("Sum of "&amp;T(Transactions!$K$19),Pivot!$A$3,"Customer",C30)</f>
        <v>2564539.12</v>
      </c>
      <c r="F30" s="55">
        <f t="shared" si="1"/>
        <v>-56651.240000000224</v>
      </c>
      <c r="G30" s="46">
        <f>+GETPIVOTDATA("Sum of "&amp;T(Transactions!$M$19),Pivot!$A$3,"Customer","OG&amp;E")</f>
        <v>-23165.024868882472</v>
      </c>
      <c r="H30" s="46">
        <f>-'20XX NOLC Refund Detail'!E13</f>
        <v>56049.01542807123</v>
      </c>
      <c r="I30" s="56">
        <f t="shared" si="0"/>
        <v>-23767.249440811458</v>
      </c>
      <c r="J30" s="53"/>
    </row>
    <row r="31" spans="2:17" x14ac:dyDescent="0.2">
      <c r="B31" s="53"/>
      <c r="C31" s="54" t="s">
        <v>8</v>
      </c>
      <c r="D31" s="55">
        <f>GETPIVOTDATA("Sum of "&amp;T(Transactions!$J$19),Pivot!$A$3,"Customer",C31)</f>
        <v>4171968.9800000004</v>
      </c>
      <c r="E31" s="55">
        <f>GETPIVOTDATA("Sum of "&amp;T(Transactions!$K$19),Pivot!$A$3,"Customer",C31)</f>
        <v>4266210.5199999996</v>
      </c>
      <c r="F31" s="55">
        <f t="shared" si="1"/>
        <v>-94241.539999999106</v>
      </c>
      <c r="G31" s="46">
        <f>+GETPIVOTDATA("Sum of "&amp;T(Transactions!$M$19),Pivot!$A$3,"Customer","OMPA")</f>
        <v>-38535.919386438545</v>
      </c>
      <c r="H31" s="46">
        <f>-'20XX NOLC Refund Detail'!E14</f>
        <v>145727.4401129852</v>
      </c>
      <c r="I31" s="56">
        <f t="shared" si="0"/>
        <v>12949.980726547539</v>
      </c>
      <c r="J31" s="53"/>
    </row>
    <row r="32" spans="2:17" x14ac:dyDescent="0.2">
      <c r="B32" s="53"/>
      <c r="C32" s="54" t="s">
        <v>55</v>
      </c>
      <c r="D32" s="55">
        <f>GETPIVOTDATA("Sum of "&amp;T(Transactions!$J$19),Pivot!$A$3,"Customer",C32)</f>
        <v>426946.06000000006</v>
      </c>
      <c r="E32" s="55">
        <f>GETPIVOTDATA("Sum of "&amp;T(Transactions!$K$19),Pivot!$A$3,"Customer",C32)</f>
        <v>436590.43999999994</v>
      </c>
      <c r="F32" s="55">
        <f t="shared" si="1"/>
        <v>-9644.3799999998882</v>
      </c>
      <c r="G32" s="46">
        <f>+GETPIVOTDATA("Sum of "&amp;T(Transactions!$M$19),Pivot!$A$3,"Customer","Prescott, AR")</f>
        <v>-3943.6436438982223</v>
      </c>
      <c r="H32" s="46">
        <f>-'20XX NOLC Refund Detail'!E15</f>
        <v>11209.803085614247</v>
      </c>
      <c r="I32" s="56">
        <f t="shared" si="0"/>
        <v>-2378.2205582838633</v>
      </c>
      <c r="J32" s="53"/>
    </row>
    <row r="33" spans="2:11" x14ac:dyDescent="0.2">
      <c r="B33" s="53"/>
      <c r="C33" s="59" t="s">
        <v>9</v>
      </c>
      <c r="D33" s="55">
        <f>GETPIVOTDATA("Sum of "&amp;T(Transactions!$J$19),Pivot!$A$3,"Customer",C33)</f>
        <v>2178433.44</v>
      </c>
      <c r="E33" s="55">
        <f>GETPIVOTDATA("Sum of "&amp;T(Transactions!$K$19),Pivot!$A$3,"Customer",C33)</f>
        <v>2227642.56</v>
      </c>
      <c r="F33" s="55">
        <f t="shared" si="1"/>
        <v>-49209.120000000112</v>
      </c>
      <c r="G33" s="46">
        <f>+GETPIVOTDATA("Sum of "&amp;T(Transactions!$M$19),Pivot!$A$3,"Customer","WFEC")</f>
        <v>-20121.898277527944</v>
      </c>
      <c r="H33" s="46">
        <f>-'20XX NOLC Refund Detail'!E16</f>
        <v>56049.01542807123</v>
      </c>
      <c r="I33" s="56">
        <f t="shared" si="0"/>
        <v>-13282.002849456825</v>
      </c>
      <c r="J33" s="53"/>
    </row>
    <row r="34" spans="2:11" ht="24" x14ac:dyDescent="0.2">
      <c r="C34" s="60" t="s">
        <v>43</v>
      </c>
      <c r="D34" s="61">
        <f t="shared" ref="D34:I34" si="2">SUM(D21:D33)</f>
        <v>94476103.339999989</v>
      </c>
      <c r="E34" s="61">
        <f t="shared" si="2"/>
        <v>96610245.160000011</v>
      </c>
      <c r="F34" s="61">
        <f t="shared" si="2"/>
        <v>-2134141.819999998</v>
      </c>
      <c r="G34" s="62">
        <f t="shared" si="2"/>
        <v>-872663.12853914779</v>
      </c>
      <c r="H34" s="62">
        <f t="shared" si="2"/>
        <v>2914548.802259705</v>
      </c>
      <c r="I34" s="63">
        <f t="shared" si="2"/>
        <v>-92256.146279441571</v>
      </c>
    </row>
    <row r="35" spans="2:11" x14ac:dyDescent="0.2">
      <c r="C35" s="64" t="s">
        <v>21</v>
      </c>
      <c r="D35" s="55">
        <f>GETPIVOTDATA("Sum of "&amp;T(Transactions!$J$19),Pivot!$A$3,"Customer",C35)</f>
        <v>130739624.19999999</v>
      </c>
      <c r="E35" s="55">
        <f>GETPIVOTDATA("Sum of "&amp;T(Transactions!$K$19),Pivot!$A$3,"Customer",C35)</f>
        <v>133692930.80000001</v>
      </c>
      <c r="F35" s="55">
        <f t="shared" si="1"/>
        <v>-2953306.6000000238</v>
      </c>
      <c r="G35" s="46">
        <f>+GETPIVOTDATA("Sum of "&amp;T(Transactions!$M$19),Pivot!$A$3,"Customer","PSO")</f>
        <v>-1207624.4197732434</v>
      </c>
      <c r="H35" s="46">
        <f>-'20XX NOLC Refund Detail'!E18</f>
        <v>4147627.1416772716</v>
      </c>
      <c r="I35" s="56">
        <f>F35+G35+H35</f>
        <v>-13303.878095995635</v>
      </c>
    </row>
    <row r="36" spans="2:11" x14ac:dyDescent="0.2">
      <c r="C36" s="65" t="s">
        <v>22</v>
      </c>
      <c r="D36" s="55">
        <f>GETPIVOTDATA("Sum of "&amp;T(Transactions!$J$19),Pivot!$A$3,"Customer",C36)</f>
        <v>124974171.50000003</v>
      </c>
      <c r="E36" s="55">
        <f>GETPIVOTDATA("Sum of "&amp;T(Transactions!$K$19),Pivot!$A$3,"Customer",C36)</f>
        <v>127797240.99999997</v>
      </c>
      <c r="F36" s="55">
        <f>D36-E36</f>
        <v>-2823069.4999999404</v>
      </c>
      <c r="G36" s="46">
        <f>+GETPIVOTDATA("Sum of "&amp;T(Transactions!$M$19),Pivot!$A$3,"Customer","SWEPCO")</f>
        <v>-1154369.7044245391</v>
      </c>
      <c r="H36" s="46">
        <f>-'20XX NOLC Refund Detail'!E19</f>
        <v>3968270.292307443</v>
      </c>
      <c r="I36" s="56">
        <f t="shared" ref="I36:I37" si="3">F36+G36+H36</f>
        <v>-9168.9121170365252</v>
      </c>
    </row>
    <row r="37" spans="2:11" x14ac:dyDescent="0.2">
      <c r="C37" s="66" t="s">
        <v>81</v>
      </c>
      <c r="D37" s="55">
        <f>GETPIVOTDATA("Sum of "&amp;T(Transactions!$J$19),Pivot!$A$3,"Customer",C37)</f>
        <v>5731834.9000000004</v>
      </c>
      <c r="E37" s="55">
        <f>GETPIVOTDATA("Sum of "&amp;T(Transactions!$K$19),Pivot!$A$3,"Customer",C37)</f>
        <v>5861312.5999999996</v>
      </c>
      <c r="F37" s="55">
        <f>D37-E37</f>
        <v>-129477.69999999925</v>
      </c>
      <c r="G37" s="46">
        <f>+GETPIVOTDATA("Sum of "&amp;T(Transactions!$M$19),Pivot!$A$3,"Customer","SWEPCO-Valley")</f>
        <v>-52944.192227137559</v>
      </c>
      <c r="H37" s="46">
        <f>-'20XX NOLC Refund Detail'!E20</f>
        <v>179356.84936982795</v>
      </c>
      <c r="I37" s="56">
        <f t="shared" si="3"/>
        <v>-3065.042857308872</v>
      </c>
    </row>
    <row r="38" spans="2:11" ht="24" x14ac:dyDescent="0.2">
      <c r="C38" s="67" t="s">
        <v>51</v>
      </c>
      <c r="D38" s="68">
        <f t="shared" ref="D38:I38" si="4">SUM(D35:D37)</f>
        <v>261445630.60000002</v>
      </c>
      <c r="E38" s="68">
        <f t="shared" si="4"/>
        <v>267351484.39999998</v>
      </c>
      <c r="F38" s="68">
        <f t="shared" si="4"/>
        <v>-5905853.7999999635</v>
      </c>
      <c r="G38" s="69">
        <f t="shared" si="4"/>
        <v>-2414938.3164249202</v>
      </c>
      <c r="H38" s="69">
        <f t="shared" si="4"/>
        <v>8295254.2833545422</v>
      </c>
      <c r="I38" s="70">
        <f t="shared" si="4"/>
        <v>-25537.833070341032</v>
      </c>
      <c r="K38" s="71"/>
    </row>
    <row r="39" spans="2:11" ht="23.25" customHeight="1" thickBot="1" x14ac:dyDescent="0.25">
      <c r="C39" s="72" t="s">
        <v>44</v>
      </c>
      <c r="D39" s="73">
        <f t="shared" ref="D39:I39" si="5">SUM(D34,D38)</f>
        <v>355921733.94</v>
      </c>
      <c r="E39" s="74">
        <f t="shared" si="5"/>
        <v>363961729.56</v>
      </c>
      <c r="F39" s="73">
        <f t="shared" si="5"/>
        <v>-8039995.6199999619</v>
      </c>
      <c r="G39" s="74">
        <f t="shared" si="5"/>
        <v>-3287601.444964068</v>
      </c>
      <c r="H39" s="74">
        <f t="shared" si="5"/>
        <v>11209803.085614247</v>
      </c>
      <c r="I39" s="75">
        <f t="shared" si="5"/>
        <v>-117793.9793497826</v>
      </c>
      <c r="K39" s="71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8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3"/>
  <sheetViews>
    <sheetView zoomScale="85" zoomScaleNormal="85" workbookViewId="0">
      <pane xSplit="2" ySplit="4" topLeftCell="C47" activePane="bottomRight" state="frozen"/>
      <selection pane="topRight" activeCell="C1" sqref="C1"/>
      <selection pane="bottomLeft" activeCell="A5" sqref="A5"/>
      <selection pane="bottomRight" activeCell="E56" sqref="E56"/>
    </sheetView>
  </sheetViews>
  <sheetFormatPr defaultColWidth="8.7109375" defaultRowHeight="12.75" x14ac:dyDescent="0.2"/>
  <cols>
    <col min="1" max="1" width="19.140625" customWidth="1"/>
    <col min="2" max="2" width="28.5703125" bestFit="1" customWidth="1"/>
    <col min="3" max="14" width="15.42578125" bestFit="1" customWidth="1"/>
    <col min="15" max="15" width="14.7109375" customWidth="1"/>
  </cols>
  <sheetData>
    <row r="3" spans="1:15" x14ac:dyDescent="0.2">
      <c r="A3" s="212"/>
      <c r="B3" s="213"/>
      <c r="C3" s="214" t="s">
        <v>53</v>
      </c>
      <c r="D3" s="213"/>
      <c r="E3" s="213"/>
      <c r="F3" s="213"/>
      <c r="G3" s="213"/>
      <c r="H3" s="213"/>
      <c r="I3" s="213"/>
      <c r="J3" s="213"/>
      <c r="K3" s="213"/>
      <c r="L3" s="213"/>
      <c r="M3" s="213"/>
      <c r="N3" s="213"/>
      <c r="O3" s="215"/>
    </row>
    <row r="4" spans="1:15" x14ac:dyDescent="0.2">
      <c r="A4" s="214" t="s">
        <v>0</v>
      </c>
      <c r="B4" s="214" t="s">
        <v>24</v>
      </c>
      <c r="C4" s="216">
        <v>45658</v>
      </c>
      <c r="D4" s="217">
        <v>45689</v>
      </c>
      <c r="E4" s="217">
        <v>45717</v>
      </c>
      <c r="F4" s="217">
        <v>45748</v>
      </c>
      <c r="G4" s="217">
        <v>45778</v>
      </c>
      <c r="H4" s="217">
        <v>45809</v>
      </c>
      <c r="I4" s="217">
        <v>45839</v>
      </c>
      <c r="J4" s="217">
        <v>45870</v>
      </c>
      <c r="K4" s="217">
        <v>45901</v>
      </c>
      <c r="L4" s="217">
        <v>45931</v>
      </c>
      <c r="M4" s="217">
        <v>45962</v>
      </c>
      <c r="N4" s="217">
        <v>45992</v>
      </c>
      <c r="O4" s="218" t="s">
        <v>18</v>
      </c>
    </row>
    <row r="5" spans="1:15" x14ac:dyDescent="0.2">
      <c r="A5" s="212" t="s">
        <v>14</v>
      </c>
      <c r="B5" s="212" t="s">
        <v>70</v>
      </c>
      <c r="C5" s="219">
        <v>3247479.48</v>
      </c>
      <c r="D5" s="220">
        <v>3704681.56</v>
      </c>
      <c r="E5" s="220">
        <v>2403672.7000000002</v>
      </c>
      <c r="F5" s="220">
        <v>1953194.1800000002</v>
      </c>
      <c r="G5" s="220">
        <v>2625550.1800000002</v>
      </c>
      <c r="H5" s="220">
        <v>3012154.8800000004</v>
      </c>
      <c r="I5" s="220">
        <v>3455909.8400000003</v>
      </c>
      <c r="J5" s="220">
        <v>3546677.9000000004</v>
      </c>
      <c r="K5" s="220">
        <v>2739850.7</v>
      </c>
      <c r="L5" s="220">
        <v>2480993.64</v>
      </c>
      <c r="M5" s="220">
        <v>2373416.6800000002</v>
      </c>
      <c r="N5" s="220">
        <v>2901216.14</v>
      </c>
      <c r="O5" s="221">
        <v>34444797.879999995</v>
      </c>
    </row>
    <row r="6" spans="1:15" x14ac:dyDescent="0.2">
      <c r="A6" s="222"/>
      <c r="B6" s="223" t="s">
        <v>25</v>
      </c>
      <c r="C6" s="224">
        <v>-73358.040000000037</v>
      </c>
      <c r="D6" s="225">
        <v>-83685.879999999888</v>
      </c>
      <c r="E6" s="225">
        <v>-54297.099999999627</v>
      </c>
      <c r="F6" s="225">
        <v>-44121.139999999665</v>
      </c>
      <c r="G6" s="225">
        <v>-59309.139999999665</v>
      </c>
      <c r="H6" s="225">
        <v>-68042.239999999292</v>
      </c>
      <c r="I6" s="225">
        <v>-78066.319999999367</v>
      </c>
      <c r="J6" s="225">
        <v>-80116.699999999255</v>
      </c>
      <c r="K6" s="225">
        <v>-61891.099999999627</v>
      </c>
      <c r="L6" s="225">
        <v>-56043.719999999739</v>
      </c>
      <c r="M6" s="225">
        <v>-53613.639999999665</v>
      </c>
      <c r="N6" s="225">
        <v>-65536.219999999739</v>
      </c>
      <c r="O6" s="226">
        <v>-778081.23999999557</v>
      </c>
    </row>
    <row r="7" spans="1:15" x14ac:dyDescent="0.2">
      <c r="A7" s="222"/>
      <c r="B7" s="223" t="s">
        <v>26</v>
      </c>
      <c r="C7" s="224">
        <v>-29996.533543351841</v>
      </c>
      <c r="D7" s="225">
        <v>-34219.647996660169</v>
      </c>
      <c r="E7" s="225">
        <v>-22202.403192025427</v>
      </c>
      <c r="F7" s="225">
        <v>-18041.393363030453</v>
      </c>
      <c r="G7" s="225">
        <v>-24251.855794366238</v>
      </c>
      <c r="H7" s="225">
        <v>-27822.871692384313</v>
      </c>
      <c r="I7" s="225">
        <v>-31921.776897065934</v>
      </c>
      <c r="J7" s="225">
        <v>-32760.189325296265</v>
      </c>
      <c r="K7" s="225">
        <v>-25307.63440769332</v>
      </c>
      <c r="L7" s="225">
        <v>-22916.606371629045</v>
      </c>
      <c r="M7" s="225">
        <v>-21922.93238261532</v>
      </c>
      <c r="N7" s="225">
        <v>-26798.145391213908</v>
      </c>
      <c r="O7" s="226">
        <v>-318161.99035733222</v>
      </c>
    </row>
    <row r="8" spans="1:15" x14ac:dyDescent="0.2">
      <c r="A8" s="222"/>
      <c r="B8" s="223" t="s">
        <v>27</v>
      </c>
      <c r="C8" s="224">
        <v>-103354.57354335187</v>
      </c>
      <c r="D8" s="225">
        <v>-117905.52799666006</v>
      </c>
      <c r="E8" s="225">
        <v>-76499.503192025062</v>
      </c>
      <c r="F8" s="225">
        <v>-62162.533363030117</v>
      </c>
      <c r="G8" s="225">
        <v>-83560.99579436591</v>
      </c>
      <c r="H8" s="225">
        <v>-95865.111692383609</v>
      </c>
      <c r="I8" s="225">
        <v>-109988.0968970653</v>
      </c>
      <c r="J8" s="225">
        <v>-112876.88932529552</v>
      </c>
      <c r="K8" s="225">
        <v>-87198.734407692944</v>
      </c>
      <c r="L8" s="225">
        <v>-78960.326371628791</v>
      </c>
      <c r="M8" s="225">
        <v>-75536.572382614977</v>
      </c>
      <c r="N8" s="225">
        <v>-92334.365391213651</v>
      </c>
      <c r="O8" s="226">
        <v>-1096243.2303573277</v>
      </c>
    </row>
    <row r="9" spans="1:15" x14ac:dyDescent="0.2">
      <c r="A9" s="222"/>
      <c r="B9" s="223" t="s">
        <v>49</v>
      </c>
      <c r="C9" s="227">
        <v>3320837.52</v>
      </c>
      <c r="D9" s="228">
        <v>3788367.44</v>
      </c>
      <c r="E9" s="228">
        <v>2457969.7999999998</v>
      </c>
      <c r="F9" s="228">
        <v>1997315.3199999998</v>
      </c>
      <c r="G9" s="228">
        <v>2684859.32</v>
      </c>
      <c r="H9" s="228">
        <v>3080197.1199999996</v>
      </c>
      <c r="I9" s="228">
        <v>3533976.1599999997</v>
      </c>
      <c r="J9" s="228">
        <v>3626794.5999999996</v>
      </c>
      <c r="K9" s="228">
        <v>2801741.8</v>
      </c>
      <c r="L9" s="228">
        <v>2537037.36</v>
      </c>
      <c r="M9" s="228">
        <v>2427030.3199999998</v>
      </c>
      <c r="N9" s="228">
        <v>2966752.36</v>
      </c>
      <c r="O9" s="229">
        <v>35222879.120000005</v>
      </c>
    </row>
    <row r="10" spans="1:15" x14ac:dyDescent="0.2">
      <c r="A10" s="222"/>
      <c r="B10" s="223" t="s">
        <v>87</v>
      </c>
      <c r="C10" s="227">
        <v>0</v>
      </c>
      <c r="D10" s="228">
        <v>0</v>
      </c>
      <c r="E10" s="228">
        <v>0</v>
      </c>
      <c r="F10" s="228">
        <v>0</v>
      </c>
      <c r="G10" s="228">
        <v>0</v>
      </c>
      <c r="H10" s="228">
        <v>0</v>
      </c>
      <c r="I10" s="228">
        <v>0</v>
      </c>
      <c r="J10" s="228">
        <v>0</v>
      </c>
      <c r="K10" s="228">
        <v>0</v>
      </c>
      <c r="L10" s="228">
        <v>0</v>
      </c>
      <c r="M10" s="228">
        <v>0</v>
      </c>
      <c r="N10" s="228">
        <v>0</v>
      </c>
      <c r="O10" s="229">
        <v>0</v>
      </c>
    </row>
    <row r="11" spans="1:15" x14ac:dyDescent="0.2">
      <c r="A11" s="222"/>
      <c r="B11" s="223" t="s">
        <v>89</v>
      </c>
      <c r="C11" s="227">
        <v>0</v>
      </c>
      <c r="D11" s="228">
        <v>0</v>
      </c>
      <c r="E11" s="228">
        <v>0</v>
      </c>
      <c r="F11" s="228">
        <v>0</v>
      </c>
      <c r="G11" s="228">
        <v>0</v>
      </c>
      <c r="H11" s="228">
        <v>0</v>
      </c>
      <c r="I11" s="228">
        <v>0</v>
      </c>
      <c r="J11" s="228">
        <v>0</v>
      </c>
      <c r="K11" s="228">
        <v>0</v>
      </c>
      <c r="L11" s="228">
        <v>0</v>
      </c>
      <c r="M11" s="228">
        <v>0</v>
      </c>
      <c r="N11" s="228">
        <v>0</v>
      </c>
      <c r="O11" s="229">
        <v>0</v>
      </c>
    </row>
    <row r="12" spans="1:15" x14ac:dyDescent="0.2">
      <c r="A12" s="212" t="s">
        <v>17</v>
      </c>
      <c r="B12" s="212" t="s">
        <v>70</v>
      </c>
      <c r="C12" s="219">
        <v>356348.68</v>
      </c>
      <c r="D12" s="220">
        <v>342901.56</v>
      </c>
      <c r="E12" s="220">
        <v>336178</v>
      </c>
      <c r="F12" s="220">
        <v>201706.80000000002</v>
      </c>
      <c r="G12" s="220">
        <v>322730.88</v>
      </c>
      <c r="H12" s="220">
        <v>400051.82</v>
      </c>
      <c r="I12" s="220">
        <v>396690.04000000004</v>
      </c>
      <c r="J12" s="220">
        <v>400051.82</v>
      </c>
      <c r="K12" s="220">
        <v>339539.78</v>
      </c>
      <c r="L12" s="220">
        <v>356348.68</v>
      </c>
      <c r="M12" s="220">
        <v>117662.3</v>
      </c>
      <c r="N12" s="220">
        <v>346263.34</v>
      </c>
      <c r="O12" s="221">
        <v>3916473.6999999997</v>
      </c>
    </row>
    <row r="13" spans="1:15" x14ac:dyDescent="0.2">
      <c r="A13" s="222"/>
      <c r="B13" s="223" t="s">
        <v>25</v>
      </c>
      <c r="C13" s="224">
        <v>-8049.640000000014</v>
      </c>
      <c r="D13" s="225">
        <v>-7745.8800000000047</v>
      </c>
      <c r="E13" s="225">
        <v>-7594</v>
      </c>
      <c r="F13" s="225">
        <v>-4556.3999999999651</v>
      </c>
      <c r="G13" s="225">
        <v>-7290.2399999999907</v>
      </c>
      <c r="H13" s="225">
        <v>-9036.859999999986</v>
      </c>
      <c r="I13" s="225">
        <v>-8960.9199999999255</v>
      </c>
      <c r="J13" s="225">
        <v>-9036.859999999986</v>
      </c>
      <c r="K13" s="225">
        <v>-7669.9399999999441</v>
      </c>
      <c r="L13" s="225">
        <v>-8049.640000000014</v>
      </c>
      <c r="M13" s="225">
        <v>-2657.8999999999942</v>
      </c>
      <c r="N13" s="225">
        <v>-7821.8199999999488</v>
      </c>
      <c r="O13" s="226">
        <v>-88470.099999999773</v>
      </c>
    </row>
    <row r="14" spans="1:15" x14ac:dyDescent="0.2">
      <c r="A14" s="222"/>
      <c r="B14" s="223" t="s">
        <v>26</v>
      </c>
      <c r="C14" s="224">
        <v>-3291.5450886079657</v>
      </c>
      <c r="D14" s="225">
        <v>-3167.33583998125</v>
      </c>
      <c r="E14" s="225">
        <v>-3105.2312156678922</v>
      </c>
      <c r="F14" s="225">
        <v>-1863.1387294007352</v>
      </c>
      <c r="G14" s="225">
        <v>-2981.0219670411766</v>
      </c>
      <c r="H14" s="225">
        <v>-3695.2251466447915</v>
      </c>
      <c r="I14" s="225">
        <v>-3664.172834488113</v>
      </c>
      <c r="J14" s="225">
        <v>-3695.2251466447915</v>
      </c>
      <c r="K14" s="225">
        <v>-3136.2835278245711</v>
      </c>
      <c r="L14" s="225">
        <v>-3291.5450886079657</v>
      </c>
      <c r="M14" s="225">
        <v>-1086.8309254837623</v>
      </c>
      <c r="N14" s="225">
        <v>-3198.388152137929</v>
      </c>
      <c r="O14" s="226">
        <v>-36175.943662530946</v>
      </c>
    </row>
    <row r="15" spans="1:15" x14ac:dyDescent="0.2">
      <c r="A15" s="222"/>
      <c r="B15" s="223" t="s">
        <v>27</v>
      </c>
      <c r="C15" s="224">
        <v>-11341.185088607979</v>
      </c>
      <c r="D15" s="225">
        <v>-10913.215839981254</v>
      </c>
      <c r="E15" s="225">
        <v>-10699.231215667893</v>
      </c>
      <c r="F15" s="225">
        <v>-6419.5387294007005</v>
      </c>
      <c r="G15" s="225">
        <v>-10271.261967041168</v>
      </c>
      <c r="H15" s="225">
        <v>-12732.085146644778</v>
      </c>
      <c r="I15" s="225">
        <v>-12625.092834488038</v>
      </c>
      <c r="J15" s="225">
        <v>-12732.085146644778</v>
      </c>
      <c r="K15" s="225">
        <v>-10806.223527824515</v>
      </c>
      <c r="L15" s="225">
        <v>-11341.185088607979</v>
      </c>
      <c r="M15" s="225">
        <v>-3744.7309254837564</v>
      </c>
      <c r="N15" s="225">
        <v>-11020.208152137879</v>
      </c>
      <c r="O15" s="226">
        <v>-124646.04366253072</v>
      </c>
    </row>
    <row r="16" spans="1:15" x14ac:dyDescent="0.2">
      <c r="A16" s="222"/>
      <c r="B16" s="223" t="s">
        <v>49</v>
      </c>
      <c r="C16" s="227">
        <v>364398.32</v>
      </c>
      <c r="D16" s="228">
        <v>350647.44</v>
      </c>
      <c r="E16" s="228">
        <v>343772</v>
      </c>
      <c r="F16" s="228">
        <v>206263.19999999998</v>
      </c>
      <c r="G16" s="228">
        <v>330021.12</v>
      </c>
      <c r="H16" s="228">
        <v>409088.68</v>
      </c>
      <c r="I16" s="228">
        <v>405650.95999999996</v>
      </c>
      <c r="J16" s="228">
        <v>409088.68</v>
      </c>
      <c r="K16" s="228">
        <v>347209.72</v>
      </c>
      <c r="L16" s="228">
        <v>364398.32</v>
      </c>
      <c r="M16" s="228">
        <v>120320.2</v>
      </c>
      <c r="N16" s="228">
        <v>354085.16</v>
      </c>
      <c r="O16" s="229">
        <v>4004943.8000000003</v>
      </c>
    </row>
    <row r="17" spans="1:15" x14ac:dyDescent="0.2">
      <c r="A17" s="222"/>
      <c r="B17" s="223" t="s">
        <v>87</v>
      </c>
      <c r="C17" s="227">
        <v>0</v>
      </c>
      <c r="D17" s="228">
        <v>0</v>
      </c>
      <c r="E17" s="228">
        <v>0</v>
      </c>
      <c r="F17" s="228">
        <v>0</v>
      </c>
      <c r="G17" s="228">
        <v>0</v>
      </c>
      <c r="H17" s="228">
        <v>0</v>
      </c>
      <c r="I17" s="228">
        <v>0</v>
      </c>
      <c r="J17" s="228">
        <v>0</v>
      </c>
      <c r="K17" s="228">
        <v>0</v>
      </c>
      <c r="L17" s="228">
        <v>0</v>
      </c>
      <c r="M17" s="228">
        <v>0</v>
      </c>
      <c r="N17" s="228">
        <v>0</v>
      </c>
      <c r="O17" s="229">
        <v>0</v>
      </c>
    </row>
    <row r="18" spans="1:15" x14ac:dyDescent="0.2">
      <c r="A18" s="222"/>
      <c r="B18" s="223" t="s">
        <v>89</v>
      </c>
      <c r="C18" s="227">
        <v>0</v>
      </c>
      <c r="D18" s="228">
        <v>0</v>
      </c>
      <c r="E18" s="228">
        <v>0</v>
      </c>
      <c r="F18" s="228">
        <v>0</v>
      </c>
      <c r="G18" s="228">
        <v>0</v>
      </c>
      <c r="H18" s="228">
        <v>0</v>
      </c>
      <c r="I18" s="228">
        <v>0</v>
      </c>
      <c r="J18" s="228">
        <v>0</v>
      </c>
      <c r="K18" s="228">
        <v>0</v>
      </c>
      <c r="L18" s="228">
        <v>0</v>
      </c>
      <c r="M18" s="228">
        <v>0</v>
      </c>
      <c r="N18" s="228">
        <v>0</v>
      </c>
      <c r="O18" s="229">
        <v>0</v>
      </c>
    </row>
    <row r="19" spans="1:15" x14ac:dyDescent="0.2">
      <c r="A19" s="212" t="s">
        <v>13</v>
      </c>
      <c r="B19" s="212" t="s">
        <v>70</v>
      </c>
      <c r="C19" s="219">
        <v>4420740.7</v>
      </c>
      <c r="D19" s="220">
        <v>4629171.0600000005</v>
      </c>
      <c r="E19" s="220">
        <v>2659167.98</v>
      </c>
      <c r="F19" s="220">
        <v>2027153.34</v>
      </c>
      <c r="G19" s="220">
        <v>2480993.64</v>
      </c>
      <c r="H19" s="220">
        <v>2854151.22</v>
      </c>
      <c r="I19" s="220">
        <v>3287820.8400000003</v>
      </c>
      <c r="J19" s="220">
        <v>3361780</v>
      </c>
      <c r="K19" s="220">
        <v>2837342.3200000003</v>
      </c>
      <c r="L19" s="220">
        <v>2554952.8000000003</v>
      </c>
      <c r="M19" s="220">
        <v>2514611.44</v>
      </c>
      <c r="N19" s="220">
        <v>3597104.6</v>
      </c>
      <c r="O19" s="221">
        <v>37224989.940000005</v>
      </c>
    </row>
    <row r="20" spans="1:15" x14ac:dyDescent="0.2">
      <c r="A20" s="222"/>
      <c r="B20" s="223" t="s">
        <v>25</v>
      </c>
      <c r="C20" s="224">
        <v>-99861.099999999627</v>
      </c>
      <c r="D20" s="225">
        <v>-104569.37999999896</v>
      </c>
      <c r="E20" s="225">
        <v>-60068.540000000037</v>
      </c>
      <c r="F20" s="225">
        <v>-45791.819999999832</v>
      </c>
      <c r="G20" s="225">
        <v>-56043.719999999739</v>
      </c>
      <c r="H20" s="225">
        <v>-64473.05999999959</v>
      </c>
      <c r="I20" s="225">
        <v>-74269.319999999367</v>
      </c>
      <c r="J20" s="225">
        <v>-75940</v>
      </c>
      <c r="K20" s="225">
        <v>-64093.359999999404</v>
      </c>
      <c r="L20" s="225">
        <v>-57714.399999999441</v>
      </c>
      <c r="M20" s="225">
        <v>-56803.120000000112</v>
      </c>
      <c r="N20" s="225">
        <v>-81255.799999999814</v>
      </c>
      <c r="O20" s="226">
        <v>-840883.61999999592</v>
      </c>
    </row>
    <row r="21" spans="1:15" x14ac:dyDescent="0.2">
      <c r="A21" s="222"/>
      <c r="B21" s="223" t="s">
        <v>26</v>
      </c>
      <c r="C21" s="224">
        <v>-40833.790486032784</v>
      </c>
      <c r="D21" s="225">
        <v>-42759.033839746873</v>
      </c>
      <c r="E21" s="225">
        <v>-24562.378915933026</v>
      </c>
      <c r="F21" s="225">
        <v>-18724.54423047739</v>
      </c>
      <c r="G21" s="225">
        <v>-22916.606371629045</v>
      </c>
      <c r="H21" s="225">
        <v>-26363.413021020402</v>
      </c>
      <c r="I21" s="225">
        <v>-30369.161289231986</v>
      </c>
      <c r="J21" s="225">
        <v>-31052.312156678923</v>
      </c>
      <c r="K21" s="225">
        <v>-26208.151460237012</v>
      </c>
      <c r="L21" s="225">
        <v>-23599.757239075981</v>
      </c>
      <c r="M21" s="225">
        <v>-23227.129493195833</v>
      </c>
      <c r="N21" s="225">
        <v>-33225.974007646444</v>
      </c>
      <c r="O21" s="226">
        <v>-343842.25251090573</v>
      </c>
    </row>
    <row r="22" spans="1:15" x14ac:dyDescent="0.2">
      <c r="A22" s="222"/>
      <c r="B22" s="223" t="s">
        <v>27</v>
      </c>
      <c r="C22" s="224">
        <v>-140694.89048603241</v>
      </c>
      <c r="D22" s="225">
        <v>-147328.41383974583</v>
      </c>
      <c r="E22" s="225">
        <v>-84630.918915933056</v>
      </c>
      <c r="F22" s="225">
        <v>-64516.364230477222</v>
      </c>
      <c r="G22" s="225">
        <v>-78960.326371628791</v>
      </c>
      <c r="H22" s="225">
        <v>-90836.473021019992</v>
      </c>
      <c r="I22" s="225">
        <v>-104638.48128923135</v>
      </c>
      <c r="J22" s="225">
        <v>-106992.31215667892</v>
      </c>
      <c r="K22" s="225">
        <v>-90301.511460236419</v>
      </c>
      <c r="L22" s="225">
        <v>-81314.15723907543</v>
      </c>
      <c r="M22" s="225">
        <v>-80030.249493195937</v>
      </c>
      <c r="N22" s="225">
        <v>-114481.77400764625</v>
      </c>
      <c r="O22" s="226">
        <v>-1184725.8725109017</v>
      </c>
    </row>
    <row r="23" spans="1:15" x14ac:dyDescent="0.2">
      <c r="A23" s="222"/>
      <c r="B23" s="223" t="s">
        <v>49</v>
      </c>
      <c r="C23" s="227">
        <v>4520601.8</v>
      </c>
      <c r="D23" s="228">
        <v>4733740.4399999995</v>
      </c>
      <c r="E23" s="228">
        <v>2719236.52</v>
      </c>
      <c r="F23" s="228">
        <v>2072945.16</v>
      </c>
      <c r="G23" s="228">
        <v>2537037.36</v>
      </c>
      <c r="H23" s="228">
        <v>2918624.28</v>
      </c>
      <c r="I23" s="228">
        <v>3362090.1599999997</v>
      </c>
      <c r="J23" s="228">
        <v>3437720</v>
      </c>
      <c r="K23" s="228">
        <v>2901435.6799999997</v>
      </c>
      <c r="L23" s="228">
        <v>2612667.1999999997</v>
      </c>
      <c r="M23" s="228">
        <v>2571414.56</v>
      </c>
      <c r="N23" s="228">
        <v>3678360.4</v>
      </c>
      <c r="O23" s="229">
        <v>38065873.559999995</v>
      </c>
    </row>
    <row r="24" spans="1:15" x14ac:dyDescent="0.2">
      <c r="A24" s="222"/>
      <c r="B24" s="223" t="s">
        <v>87</v>
      </c>
      <c r="C24" s="227">
        <v>0</v>
      </c>
      <c r="D24" s="228">
        <v>0</v>
      </c>
      <c r="E24" s="228">
        <v>0</v>
      </c>
      <c r="F24" s="228">
        <v>0</v>
      </c>
      <c r="G24" s="228">
        <v>0</v>
      </c>
      <c r="H24" s="228">
        <v>0</v>
      </c>
      <c r="I24" s="228">
        <v>0</v>
      </c>
      <c r="J24" s="228">
        <v>0</v>
      </c>
      <c r="K24" s="228">
        <v>0</v>
      </c>
      <c r="L24" s="228">
        <v>0</v>
      </c>
      <c r="M24" s="228">
        <v>0</v>
      </c>
      <c r="N24" s="228">
        <v>0</v>
      </c>
      <c r="O24" s="229">
        <v>0</v>
      </c>
    </row>
    <row r="25" spans="1:15" x14ac:dyDescent="0.2">
      <c r="A25" s="222"/>
      <c r="B25" s="223" t="s">
        <v>89</v>
      </c>
      <c r="C25" s="227">
        <v>0</v>
      </c>
      <c r="D25" s="228">
        <v>0</v>
      </c>
      <c r="E25" s="228">
        <v>0</v>
      </c>
      <c r="F25" s="228">
        <v>0</v>
      </c>
      <c r="G25" s="228">
        <v>0</v>
      </c>
      <c r="H25" s="228">
        <v>0</v>
      </c>
      <c r="I25" s="228">
        <v>0</v>
      </c>
      <c r="J25" s="228">
        <v>0</v>
      </c>
      <c r="K25" s="228">
        <v>0</v>
      </c>
      <c r="L25" s="228">
        <v>0</v>
      </c>
      <c r="M25" s="228">
        <v>0</v>
      </c>
      <c r="N25" s="228">
        <v>0</v>
      </c>
      <c r="O25" s="229">
        <v>0</v>
      </c>
    </row>
    <row r="26" spans="1:15" x14ac:dyDescent="0.2">
      <c r="A26" s="212" t="s">
        <v>15</v>
      </c>
      <c r="B26" s="212" t="s">
        <v>70</v>
      </c>
      <c r="C26" s="219">
        <v>23532.460000000003</v>
      </c>
      <c r="D26" s="220">
        <v>26894.240000000002</v>
      </c>
      <c r="E26" s="220">
        <v>23532.460000000003</v>
      </c>
      <c r="F26" s="220">
        <v>10085.34</v>
      </c>
      <c r="G26" s="220">
        <v>16808.900000000001</v>
      </c>
      <c r="H26" s="220">
        <v>33617.800000000003</v>
      </c>
      <c r="I26" s="220">
        <v>57150.26</v>
      </c>
      <c r="J26" s="220">
        <v>53788.480000000003</v>
      </c>
      <c r="K26" s="220">
        <v>26894.240000000002</v>
      </c>
      <c r="L26" s="220">
        <v>26894.240000000002</v>
      </c>
      <c r="M26" s="220">
        <v>20170.68</v>
      </c>
      <c r="N26" s="220">
        <v>23532.460000000003</v>
      </c>
      <c r="O26" s="221">
        <v>342901.56000000006</v>
      </c>
    </row>
    <row r="27" spans="1:15" x14ac:dyDescent="0.2">
      <c r="A27" s="222"/>
      <c r="B27" s="223" t="s">
        <v>25</v>
      </c>
      <c r="C27" s="224">
        <v>-531.57999999999447</v>
      </c>
      <c r="D27" s="225">
        <v>-607.5199999999968</v>
      </c>
      <c r="E27" s="225">
        <v>-531.57999999999447</v>
      </c>
      <c r="F27" s="225">
        <v>-227.81999999999971</v>
      </c>
      <c r="G27" s="225">
        <v>-379.69999999999709</v>
      </c>
      <c r="H27" s="225">
        <v>-759.39999999999418</v>
      </c>
      <c r="I27" s="225">
        <v>-1290.9799999999959</v>
      </c>
      <c r="J27" s="225">
        <v>-1215.0399999999936</v>
      </c>
      <c r="K27" s="225">
        <v>-607.5199999999968</v>
      </c>
      <c r="L27" s="225">
        <v>-607.5199999999968</v>
      </c>
      <c r="M27" s="225">
        <v>-455.63999999999942</v>
      </c>
      <c r="N27" s="225">
        <v>-531.57999999999447</v>
      </c>
      <c r="O27" s="226">
        <v>-7745.8799999999537</v>
      </c>
    </row>
    <row r="28" spans="1:15" x14ac:dyDescent="0.2">
      <c r="A28" s="222"/>
      <c r="B28" s="223" t="s">
        <v>26</v>
      </c>
      <c r="C28" s="224">
        <v>-217.36618509675245</v>
      </c>
      <c r="D28" s="225">
        <v>-248.41849725343135</v>
      </c>
      <c r="E28" s="225">
        <v>-217.36618509675245</v>
      </c>
      <c r="F28" s="225">
        <v>-93.156936470036769</v>
      </c>
      <c r="G28" s="225">
        <v>-155.2615607833946</v>
      </c>
      <c r="H28" s="225">
        <v>-310.5231215667892</v>
      </c>
      <c r="I28" s="225">
        <v>-527.88930666354167</v>
      </c>
      <c r="J28" s="225">
        <v>-496.83699450686271</v>
      </c>
      <c r="K28" s="225">
        <v>-248.41849725343135</v>
      </c>
      <c r="L28" s="225">
        <v>-248.41849725343135</v>
      </c>
      <c r="M28" s="225">
        <v>-186.31387294007354</v>
      </c>
      <c r="N28" s="225">
        <v>-217.36618509675245</v>
      </c>
      <c r="O28" s="226">
        <v>-3167.3358399812496</v>
      </c>
    </row>
    <row r="29" spans="1:15" x14ac:dyDescent="0.2">
      <c r="A29" s="222"/>
      <c r="B29" s="223" t="s">
        <v>27</v>
      </c>
      <c r="C29" s="224">
        <v>-748.94618509674694</v>
      </c>
      <c r="D29" s="225">
        <v>-855.93849725342818</v>
      </c>
      <c r="E29" s="225">
        <v>-748.94618509674694</v>
      </c>
      <c r="F29" s="225">
        <v>-320.97693647003649</v>
      </c>
      <c r="G29" s="225">
        <v>-534.96156078339163</v>
      </c>
      <c r="H29" s="225">
        <v>-1069.9231215667833</v>
      </c>
      <c r="I29" s="225">
        <v>-1818.8693066635376</v>
      </c>
      <c r="J29" s="225">
        <v>-1711.8769945068564</v>
      </c>
      <c r="K29" s="225">
        <v>-855.93849725342818</v>
      </c>
      <c r="L29" s="225">
        <v>-855.93849725342818</v>
      </c>
      <c r="M29" s="225">
        <v>-641.95387294007298</v>
      </c>
      <c r="N29" s="225">
        <v>-748.94618509674694</v>
      </c>
      <c r="O29" s="226">
        <v>-10913.215839981205</v>
      </c>
    </row>
    <row r="30" spans="1:15" x14ac:dyDescent="0.2">
      <c r="A30" s="222"/>
      <c r="B30" s="223" t="s">
        <v>49</v>
      </c>
      <c r="C30" s="227">
        <v>24064.039999999997</v>
      </c>
      <c r="D30" s="228">
        <v>27501.759999999998</v>
      </c>
      <c r="E30" s="228">
        <v>24064.039999999997</v>
      </c>
      <c r="F30" s="228">
        <v>10313.16</v>
      </c>
      <c r="G30" s="228">
        <v>17188.599999999999</v>
      </c>
      <c r="H30" s="228">
        <v>34377.199999999997</v>
      </c>
      <c r="I30" s="228">
        <v>58441.24</v>
      </c>
      <c r="J30" s="228">
        <v>55003.519999999997</v>
      </c>
      <c r="K30" s="228">
        <v>27501.759999999998</v>
      </c>
      <c r="L30" s="228">
        <v>27501.759999999998</v>
      </c>
      <c r="M30" s="228">
        <v>20626.32</v>
      </c>
      <c r="N30" s="228">
        <v>24064.039999999997</v>
      </c>
      <c r="O30" s="229">
        <v>350647.43999999994</v>
      </c>
    </row>
    <row r="31" spans="1:15" x14ac:dyDescent="0.2">
      <c r="A31" s="222"/>
      <c r="B31" s="223" t="s">
        <v>87</v>
      </c>
      <c r="C31" s="227">
        <v>0</v>
      </c>
      <c r="D31" s="228">
        <v>0</v>
      </c>
      <c r="E31" s="228">
        <v>0</v>
      </c>
      <c r="F31" s="228">
        <v>0</v>
      </c>
      <c r="G31" s="228">
        <v>0</v>
      </c>
      <c r="H31" s="228">
        <v>0</v>
      </c>
      <c r="I31" s="228">
        <v>0</v>
      </c>
      <c r="J31" s="228">
        <v>0</v>
      </c>
      <c r="K31" s="228">
        <v>0</v>
      </c>
      <c r="L31" s="228">
        <v>0</v>
      </c>
      <c r="M31" s="228">
        <v>0</v>
      </c>
      <c r="N31" s="228">
        <v>0</v>
      </c>
      <c r="O31" s="229">
        <v>0</v>
      </c>
    </row>
    <row r="32" spans="1:15" x14ac:dyDescent="0.2">
      <c r="A32" s="222"/>
      <c r="B32" s="223" t="s">
        <v>89</v>
      </c>
      <c r="C32" s="227">
        <v>0</v>
      </c>
      <c r="D32" s="228">
        <v>0</v>
      </c>
      <c r="E32" s="228">
        <v>0</v>
      </c>
      <c r="F32" s="228">
        <v>0</v>
      </c>
      <c r="G32" s="228">
        <v>0</v>
      </c>
      <c r="H32" s="228">
        <v>0</v>
      </c>
      <c r="I32" s="228">
        <v>0</v>
      </c>
      <c r="J32" s="228">
        <v>0</v>
      </c>
      <c r="K32" s="228">
        <v>0</v>
      </c>
      <c r="L32" s="228">
        <v>0</v>
      </c>
      <c r="M32" s="228">
        <v>0</v>
      </c>
      <c r="N32" s="228">
        <v>0</v>
      </c>
      <c r="O32" s="229">
        <v>0</v>
      </c>
    </row>
    <row r="33" spans="1:15" x14ac:dyDescent="0.2">
      <c r="A33" s="212" t="s">
        <v>16</v>
      </c>
      <c r="B33" s="212" t="s">
        <v>70</v>
      </c>
      <c r="C33" s="219">
        <v>6723.56</v>
      </c>
      <c r="D33" s="220">
        <v>10085.34</v>
      </c>
      <c r="E33" s="220">
        <v>6723.56</v>
      </c>
      <c r="F33" s="220">
        <v>3361.78</v>
      </c>
      <c r="G33" s="220">
        <v>6723.56</v>
      </c>
      <c r="H33" s="220">
        <v>10085.34</v>
      </c>
      <c r="I33" s="220">
        <v>23532.460000000003</v>
      </c>
      <c r="J33" s="220">
        <v>16808.900000000001</v>
      </c>
      <c r="K33" s="220">
        <v>6723.56</v>
      </c>
      <c r="L33" s="220">
        <v>10085.34</v>
      </c>
      <c r="M33" s="220">
        <v>3361.78</v>
      </c>
      <c r="N33" s="220">
        <v>6723.56</v>
      </c>
      <c r="O33" s="221">
        <v>110938.73999999999</v>
      </c>
    </row>
    <row r="34" spans="1:15" x14ac:dyDescent="0.2">
      <c r="A34" s="222"/>
      <c r="B34" s="223" t="s">
        <v>25</v>
      </c>
      <c r="C34" s="224">
        <v>-151.8799999999992</v>
      </c>
      <c r="D34" s="225">
        <v>-227.81999999999971</v>
      </c>
      <c r="E34" s="225">
        <v>-151.8799999999992</v>
      </c>
      <c r="F34" s="225">
        <v>-75.9399999999996</v>
      </c>
      <c r="G34" s="225">
        <v>-151.8799999999992</v>
      </c>
      <c r="H34" s="225">
        <v>-227.81999999999971</v>
      </c>
      <c r="I34" s="225">
        <v>-531.57999999999447</v>
      </c>
      <c r="J34" s="225">
        <v>-379.69999999999709</v>
      </c>
      <c r="K34" s="225">
        <v>-151.8799999999992</v>
      </c>
      <c r="L34" s="225">
        <v>-227.81999999999971</v>
      </c>
      <c r="M34" s="225">
        <v>-75.9399999999996</v>
      </c>
      <c r="N34" s="225">
        <v>-151.8799999999992</v>
      </c>
      <c r="O34" s="226">
        <v>-2506.0199999999859</v>
      </c>
    </row>
    <row r="35" spans="1:15" x14ac:dyDescent="0.2">
      <c r="A35" s="222"/>
      <c r="B35" s="223" t="s">
        <v>26</v>
      </c>
      <c r="C35" s="224">
        <v>-62.104624313357839</v>
      </c>
      <c r="D35" s="225">
        <v>-93.156936470036769</v>
      </c>
      <c r="E35" s="225">
        <v>-62.104624313357839</v>
      </c>
      <c r="F35" s="225">
        <v>-31.052312156678919</v>
      </c>
      <c r="G35" s="225">
        <v>-62.104624313357839</v>
      </c>
      <c r="H35" s="225">
        <v>-93.156936470036769</v>
      </c>
      <c r="I35" s="225">
        <v>-217.36618509675245</v>
      </c>
      <c r="J35" s="225">
        <v>-155.2615607833946</v>
      </c>
      <c r="K35" s="225">
        <v>-62.104624313357839</v>
      </c>
      <c r="L35" s="225">
        <v>-93.156936470036769</v>
      </c>
      <c r="M35" s="225">
        <v>-31.052312156678919</v>
      </c>
      <c r="N35" s="225">
        <v>-62.104624313357839</v>
      </c>
      <c r="O35" s="226">
        <v>-1024.7263011704042</v>
      </c>
    </row>
    <row r="36" spans="1:15" x14ac:dyDescent="0.2">
      <c r="A36" s="222"/>
      <c r="B36" s="223" t="s">
        <v>27</v>
      </c>
      <c r="C36" s="224">
        <v>-213.98462431335705</v>
      </c>
      <c r="D36" s="225">
        <v>-320.97693647003649</v>
      </c>
      <c r="E36" s="225">
        <v>-213.98462431335705</v>
      </c>
      <c r="F36" s="225">
        <v>-106.99231215667852</v>
      </c>
      <c r="G36" s="225">
        <v>-213.98462431335705</v>
      </c>
      <c r="H36" s="225">
        <v>-320.97693647003649</v>
      </c>
      <c r="I36" s="225">
        <v>-748.94618509674694</v>
      </c>
      <c r="J36" s="225">
        <v>-534.96156078339163</v>
      </c>
      <c r="K36" s="225">
        <v>-213.98462431335705</v>
      </c>
      <c r="L36" s="225">
        <v>-320.97693647003649</v>
      </c>
      <c r="M36" s="225">
        <v>-106.99231215667852</v>
      </c>
      <c r="N36" s="225">
        <v>-213.98462431335705</v>
      </c>
      <c r="O36" s="226">
        <v>-3530.7463011703903</v>
      </c>
    </row>
    <row r="37" spans="1:15" x14ac:dyDescent="0.2">
      <c r="A37" s="222"/>
      <c r="B37" s="223" t="s">
        <v>49</v>
      </c>
      <c r="C37" s="227">
        <v>6875.44</v>
      </c>
      <c r="D37" s="228">
        <v>10313.16</v>
      </c>
      <c r="E37" s="228">
        <v>6875.44</v>
      </c>
      <c r="F37" s="228">
        <v>3437.72</v>
      </c>
      <c r="G37" s="228">
        <v>6875.44</v>
      </c>
      <c r="H37" s="228">
        <v>10313.16</v>
      </c>
      <c r="I37" s="228">
        <v>24064.039999999997</v>
      </c>
      <c r="J37" s="228">
        <v>17188.599999999999</v>
      </c>
      <c r="K37" s="228">
        <v>6875.44</v>
      </c>
      <c r="L37" s="228">
        <v>10313.16</v>
      </c>
      <c r="M37" s="228">
        <v>3437.72</v>
      </c>
      <c r="N37" s="228">
        <v>6875.44</v>
      </c>
      <c r="O37" s="229">
        <v>113444.76000000001</v>
      </c>
    </row>
    <row r="38" spans="1:15" x14ac:dyDescent="0.2">
      <c r="A38" s="222"/>
      <c r="B38" s="223" t="s">
        <v>87</v>
      </c>
      <c r="C38" s="227">
        <v>0</v>
      </c>
      <c r="D38" s="228">
        <v>0</v>
      </c>
      <c r="E38" s="228">
        <v>0</v>
      </c>
      <c r="F38" s="228">
        <v>0</v>
      </c>
      <c r="G38" s="228">
        <v>0</v>
      </c>
      <c r="H38" s="228">
        <v>0</v>
      </c>
      <c r="I38" s="228">
        <v>0</v>
      </c>
      <c r="J38" s="228">
        <v>0</v>
      </c>
      <c r="K38" s="228">
        <v>0</v>
      </c>
      <c r="L38" s="228">
        <v>0</v>
      </c>
      <c r="M38" s="228">
        <v>0</v>
      </c>
      <c r="N38" s="228">
        <v>0</v>
      </c>
      <c r="O38" s="229">
        <v>0</v>
      </c>
    </row>
    <row r="39" spans="1:15" x14ac:dyDescent="0.2">
      <c r="A39" s="222"/>
      <c r="B39" s="223" t="s">
        <v>89</v>
      </c>
      <c r="C39" s="227">
        <v>0</v>
      </c>
      <c r="D39" s="228">
        <v>0</v>
      </c>
      <c r="E39" s="228">
        <v>0</v>
      </c>
      <c r="F39" s="228">
        <v>0</v>
      </c>
      <c r="G39" s="228">
        <v>0</v>
      </c>
      <c r="H39" s="228">
        <v>0</v>
      </c>
      <c r="I39" s="228">
        <v>0</v>
      </c>
      <c r="J39" s="228">
        <v>0</v>
      </c>
      <c r="K39" s="228">
        <v>0</v>
      </c>
      <c r="L39" s="228">
        <v>0</v>
      </c>
      <c r="M39" s="228">
        <v>0</v>
      </c>
      <c r="N39" s="228">
        <v>0</v>
      </c>
      <c r="O39" s="229">
        <v>0</v>
      </c>
    </row>
    <row r="40" spans="1:15" x14ac:dyDescent="0.2">
      <c r="A40" s="212" t="s">
        <v>19</v>
      </c>
      <c r="B40" s="212" t="s">
        <v>70</v>
      </c>
      <c r="C40" s="219">
        <v>235324.6</v>
      </c>
      <c r="D40" s="220">
        <v>168089</v>
      </c>
      <c r="E40" s="220">
        <v>225239.26</v>
      </c>
      <c r="F40" s="220">
        <v>238686.38</v>
      </c>
      <c r="G40" s="220">
        <v>215153.92000000001</v>
      </c>
      <c r="H40" s="220">
        <v>242048.16</v>
      </c>
      <c r="I40" s="220">
        <v>36979.58</v>
      </c>
      <c r="J40" s="220">
        <v>208430.36000000002</v>
      </c>
      <c r="K40" s="220">
        <v>242048.16</v>
      </c>
      <c r="L40" s="220">
        <v>242048.16</v>
      </c>
      <c r="M40" s="220">
        <v>225239.26</v>
      </c>
      <c r="N40" s="220">
        <v>228601.04</v>
      </c>
      <c r="O40" s="221">
        <v>2507887.88</v>
      </c>
    </row>
    <row r="41" spans="1:15" x14ac:dyDescent="0.2">
      <c r="A41" s="222"/>
      <c r="B41" s="223" t="s">
        <v>25</v>
      </c>
      <c r="C41" s="224">
        <v>-5315.7999999999884</v>
      </c>
      <c r="D41" s="225">
        <v>-3797</v>
      </c>
      <c r="E41" s="225">
        <v>-5087.9799999999814</v>
      </c>
      <c r="F41" s="225">
        <v>-5391.7399999999907</v>
      </c>
      <c r="G41" s="225">
        <v>-4860.1599999999744</v>
      </c>
      <c r="H41" s="225">
        <v>-5467.679999999993</v>
      </c>
      <c r="I41" s="225">
        <v>-835.33999999999651</v>
      </c>
      <c r="J41" s="225">
        <v>-4708.2799999999697</v>
      </c>
      <c r="K41" s="225">
        <v>-5467.679999999993</v>
      </c>
      <c r="L41" s="225">
        <v>-5467.679999999993</v>
      </c>
      <c r="M41" s="225">
        <v>-5087.9799999999814</v>
      </c>
      <c r="N41" s="225">
        <v>-5163.9199999999837</v>
      </c>
      <c r="O41" s="226">
        <v>-56651.239999999845</v>
      </c>
    </row>
    <row r="42" spans="1:15" x14ac:dyDescent="0.2">
      <c r="A42" s="222"/>
      <c r="B42" s="223" t="s">
        <v>26</v>
      </c>
      <c r="C42" s="224">
        <v>-2173.6618509675245</v>
      </c>
      <c r="D42" s="225">
        <v>-1552.6156078339461</v>
      </c>
      <c r="E42" s="225">
        <v>-2080.5049144974878</v>
      </c>
      <c r="F42" s="225">
        <v>-2204.7141631242034</v>
      </c>
      <c r="G42" s="225">
        <v>-1987.3479780274508</v>
      </c>
      <c r="H42" s="225">
        <v>-2235.7664752808823</v>
      </c>
      <c r="I42" s="225">
        <v>-341.57543372346817</v>
      </c>
      <c r="J42" s="225">
        <v>-1925.2433537140932</v>
      </c>
      <c r="K42" s="225">
        <v>-2235.7664752808823</v>
      </c>
      <c r="L42" s="225">
        <v>-2235.7664752808823</v>
      </c>
      <c r="M42" s="225">
        <v>-2080.5049144974878</v>
      </c>
      <c r="N42" s="225">
        <v>-2111.5572266541667</v>
      </c>
      <c r="O42" s="226">
        <v>-23165.024868882472</v>
      </c>
    </row>
    <row r="43" spans="1:15" x14ac:dyDescent="0.2">
      <c r="A43" s="222"/>
      <c r="B43" s="223" t="s">
        <v>27</v>
      </c>
      <c r="C43" s="224">
        <v>-7489.4618509675129</v>
      </c>
      <c r="D43" s="225">
        <v>-5349.6156078339463</v>
      </c>
      <c r="E43" s="225">
        <v>-7168.4849144974687</v>
      </c>
      <c r="F43" s="225">
        <v>-7596.4541631241937</v>
      </c>
      <c r="G43" s="225">
        <v>-6847.5079780274255</v>
      </c>
      <c r="H43" s="225">
        <v>-7703.4464752808753</v>
      </c>
      <c r="I43" s="225">
        <v>-1176.9154337234647</v>
      </c>
      <c r="J43" s="225">
        <v>-6633.523353714063</v>
      </c>
      <c r="K43" s="225">
        <v>-7703.4464752808753</v>
      </c>
      <c r="L43" s="225">
        <v>-7703.4464752808753</v>
      </c>
      <c r="M43" s="225">
        <v>-7168.4849144974687</v>
      </c>
      <c r="N43" s="225">
        <v>-7275.4772266541504</v>
      </c>
      <c r="O43" s="226">
        <v>-79816.264868882339</v>
      </c>
    </row>
    <row r="44" spans="1:15" x14ac:dyDescent="0.2">
      <c r="A44" s="222"/>
      <c r="B44" s="223" t="s">
        <v>49</v>
      </c>
      <c r="C44" s="227">
        <v>240640.4</v>
      </c>
      <c r="D44" s="228">
        <v>171886</v>
      </c>
      <c r="E44" s="228">
        <v>230327.24</v>
      </c>
      <c r="F44" s="228">
        <v>244078.12</v>
      </c>
      <c r="G44" s="228">
        <v>220014.07999999999</v>
      </c>
      <c r="H44" s="228">
        <v>247515.84</v>
      </c>
      <c r="I44" s="228">
        <v>37814.92</v>
      </c>
      <c r="J44" s="228">
        <v>213138.63999999998</v>
      </c>
      <c r="K44" s="228">
        <v>247515.84</v>
      </c>
      <c r="L44" s="228">
        <v>247515.84</v>
      </c>
      <c r="M44" s="228">
        <v>230327.24</v>
      </c>
      <c r="N44" s="228">
        <v>233764.96</v>
      </c>
      <c r="O44" s="229">
        <v>2564539.12</v>
      </c>
    </row>
    <row r="45" spans="1:15" x14ac:dyDescent="0.2">
      <c r="A45" s="222"/>
      <c r="B45" s="223" t="s">
        <v>87</v>
      </c>
      <c r="C45" s="227">
        <v>0</v>
      </c>
      <c r="D45" s="228">
        <v>0</v>
      </c>
      <c r="E45" s="228">
        <v>0</v>
      </c>
      <c r="F45" s="228">
        <v>0</v>
      </c>
      <c r="G45" s="228">
        <v>0</v>
      </c>
      <c r="H45" s="228">
        <v>0</v>
      </c>
      <c r="I45" s="228">
        <v>0</v>
      </c>
      <c r="J45" s="228">
        <v>0</v>
      </c>
      <c r="K45" s="228">
        <v>0</v>
      </c>
      <c r="L45" s="228">
        <v>0</v>
      </c>
      <c r="M45" s="228">
        <v>0</v>
      </c>
      <c r="N45" s="228">
        <v>0</v>
      </c>
      <c r="O45" s="229">
        <v>0</v>
      </c>
    </row>
    <row r="46" spans="1:15" x14ac:dyDescent="0.2">
      <c r="A46" s="222"/>
      <c r="B46" s="223" t="s">
        <v>89</v>
      </c>
      <c r="C46" s="227">
        <v>0</v>
      </c>
      <c r="D46" s="228">
        <v>0</v>
      </c>
      <c r="E46" s="228">
        <v>0</v>
      </c>
      <c r="F46" s="228">
        <v>0</v>
      </c>
      <c r="G46" s="228">
        <v>0</v>
      </c>
      <c r="H46" s="228">
        <v>0</v>
      </c>
      <c r="I46" s="228">
        <v>0</v>
      </c>
      <c r="J46" s="228">
        <v>0</v>
      </c>
      <c r="K46" s="228">
        <v>0</v>
      </c>
      <c r="L46" s="228">
        <v>0</v>
      </c>
      <c r="M46" s="228">
        <v>0</v>
      </c>
      <c r="N46" s="228">
        <v>0</v>
      </c>
      <c r="O46" s="229">
        <v>0</v>
      </c>
    </row>
    <row r="47" spans="1:15" x14ac:dyDescent="0.2">
      <c r="A47" s="212" t="s">
        <v>8</v>
      </c>
      <c r="B47" s="212" t="s">
        <v>70</v>
      </c>
      <c r="C47" s="219">
        <v>299198.42000000004</v>
      </c>
      <c r="D47" s="220">
        <v>342901.56</v>
      </c>
      <c r="E47" s="220">
        <v>215153.92000000001</v>
      </c>
      <c r="F47" s="220">
        <v>238686.38</v>
      </c>
      <c r="G47" s="220">
        <v>363072.24000000005</v>
      </c>
      <c r="H47" s="220">
        <v>437031.4</v>
      </c>
      <c r="I47" s="220">
        <v>507628.78</v>
      </c>
      <c r="J47" s="220">
        <v>487458.10000000003</v>
      </c>
      <c r="K47" s="220">
        <v>423584.28</v>
      </c>
      <c r="L47" s="220">
        <v>356348.68</v>
      </c>
      <c r="M47" s="220">
        <v>225239.26</v>
      </c>
      <c r="N47" s="220">
        <v>275665.96000000002</v>
      </c>
      <c r="O47" s="221">
        <v>4171968.9800000004</v>
      </c>
    </row>
    <row r="48" spans="1:15" x14ac:dyDescent="0.2">
      <c r="A48" s="222"/>
      <c r="B48" s="223" t="s">
        <v>25</v>
      </c>
      <c r="C48" s="224">
        <v>-6758.6599999999162</v>
      </c>
      <c r="D48" s="225">
        <v>-7745.8800000000047</v>
      </c>
      <c r="E48" s="225">
        <v>-4860.1599999999744</v>
      </c>
      <c r="F48" s="225">
        <v>-5391.7399999999907</v>
      </c>
      <c r="G48" s="225">
        <v>-8201.5199999999022</v>
      </c>
      <c r="H48" s="225">
        <v>-9872.1999999999534</v>
      </c>
      <c r="I48" s="225">
        <v>-11466.939999999944</v>
      </c>
      <c r="J48" s="225">
        <v>-11011.29999999993</v>
      </c>
      <c r="K48" s="225">
        <v>-9568.4399999999441</v>
      </c>
      <c r="L48" s="225">
        <v>-8049.640000000014</v>
      </c>
      <c r="M48" s="225">
        <v>-5087.9799999999814</v>
      </c>
      <c r="N48" s="225">
        <v>-6227.0799999999581</v>
      </c>
      <c r="O48" s="226">
        <v>-94241.539999999513</v>
      </c>
    </row>
    <row r="49" spans="1:15" x14ac:dyDescent="0.2">
      <c r="A49" s="222"/>
      <c r="B49" s="223" t="s">
        <v>26</v>
      </c>
      <c r="C49" s="224">
        <v>-2763.6557819444238</v>
      </c>
      <c r="D49" s="225">
        <v>-3167.33583998125</v>
      </c>
      <c r="E49" s="225">
        <v>-1987.3479780274508</v>
      </c>
      <c r="F49" s="225">
        <v>-2204.7141631242034</v>
      </c>
      <c r="G49" s="225">
        <v>-3353.649712921324</v>
      </c>
      <c r="H49" s="225">
        <v>-4036.8005803682599</v>
      </c>
      <c r="I49" s="225">
        <v>-4688.8991356585175</v>
      </c>
      <c r="J49" s="225">
        <v>-4502.5852627184431</v>
      </c>
      <c r="K49" s="225">
        <v>-3912.5913317415443</v>
      </c>
      <c r="L49" s="225">
        <v>-3291.5450886079657</v>
      </c>
      <c r="M49" s="225">
        <v>-2080.5049144974878</v>
      </c>
      <c r="N49" s="225">
        <v>-2546.2895968476714</v>
      </c>
      <c r="O49" s="226">
        <v>-38535.919386438545</v>
      </c>
    </row>
    <row r="50" spans="1:15" x14ac:dyDescent="0.2">
      <c r="A50" s="222"/>
      <c r="B50" s="223" t="s">
        <v>27</v>
      </c>
      <c r="C50" s="224">
        <v>-9522.3157819443404</v>
      </c>
      <c r="D50" s="225">
        <v>-10913.215839981254</v>
      </c>
      <c r="E50" s="225">
        <v>-6847.5079780274255</v>
      </c>
      <c r="F50" s="225">
        <v>-7596.4541631241937</v>
      </c>
      <c r="G50" s="225">
        <v>-11555.169712921226</v>
      </c>
      <c r="H50" s="225">
        <v>-13909.000580368214</v>
      </c>
      <c r="I50" s="225">
        <v>-16155.839135658462</v>
      </c>
      <c r="J50" s="225">
        <v>-15513.885262718373</v>
      </c>
      <c r="K50" s="225">
        <v>-13481.031331741488</v>
      </c>
      <c r="L50" s="225">
        <v>-11341.185088607979</v>
      </c>
      <c r="M50" s="225">
        <v>-7168.4849144974687</v>
      </c>
      <c r="N50" s="225">
        <v>-8773.3695968476295</v>
      </c>
      <c r="O50" s="226">
        <v>-132777.45938643804</v>
      </c>
    </row>
    <row r="51" spans="1:15" x14ac:dyDescent="0.2">
      <c r="A51" s="222"/>
      <c r="B51" s="223" t="s">
        <v>49</v>
      </c>
      <c r="C51" s="227">
        <v>305957.07999999996</v>
      </c>
      <c r="D51" s="228">
        <v>350647.44</v>
      </c>
      <c r="E51" s="228">
        <v>220014.07999999999</v>
      </c>
      <c r="F51" s="228">
        <v>244078.12</v>
      </c>
      <c r="G51" s="228">
        <v>371273.75999999995</v>
      </c>
      <c r="H51" s="228">
        <v>446903.6</v>
      </c>
      <c r="I51" s="228">
        <v>519095.72</v>
      </c>
      <c r="J51" s="228">
        <v>498469.39999999997</v>
      </c>
      <c r="K51" s="228">
        <v>433152.72</v>
      </c>
      <c r="L51" s="228">
        <v>364398.32</v>
      </c>
      <c r="M51" s="228">
        <v>230327.24</v>
      </c>
      <c r="N51" s="228">
        <v>281893.03999999998</v>
      </c>
      <c r="O51" s="229">
        <v>4266210.5199999996</v>
      </c>
    </row>
    <row r="52" spans="1:15" x14ac:dyDescent="0.2">
      <c r="A52" s="222"/>
      <c r="B52" s="223" t="s">
        <v>87</v>
      </c>
      <c r="C52" s="227">
        <v>0</v>
      </c>
      <c r="D52" s="228">
        <v>0</v>
      </c>
      <c r="E52" s="228">
        <v>0</v>
      </c>
      <c r="F52" s="228">
        <v>0</v>
      </c>
      <c r="G52" s="228">
        <v>0</v>
      </c>
      <c r="H52" s="228">
        <v>0</v>
      </c>
      <c r="I52" s="228">
        <v>0</v>
      </c>
      <c r="J52" s="228">
        <v>0</v>
      </c>
      <c r="K52" s="228">
        <v>0</v>
      </c>
      <c r="L52" s="228">
        <v>0</v>
      </c>
      <c r="M52" s="228">
        <v>0</v>
      </c>
      <c r="N52" s="228">
        <v>0</v>
      </c>
      <c r="O52" s="229">
        <v>0</v>
      </c>
    </row>
    <row r="53" spans="1:15" x14ac:dyDescent="0.2">
      <c r="A53" s="222"/>
      <c r="B53" s="223" t="s">
        <v>89</v>
      </c>
      <c r="C53" s="227">
        <v>0</v>
      </c>
      <c r="D53" s="228">
        <v>0</v>
      </c>
      <c r="E53" s="228">
        <v>0</v>
      </c>
      <c r="F53" s="228">
        <v>0</v>
      </c>
      <c r="G53" s="228">
        <v>0</v>
      </c>
      <c r="H53" s="228">
        <v>0</v>
      </c>
      <c r="I53" s="228">
        <v>0</v>
      </c>
      <c r="J53" s="228">
        <v>0</v>
      </c>
      <c r="K53" s="228">
        <v>0</v>
      </c>
      <c r="L53" s="228">
        <v>0</v>
      </c>
      <c r="M53" s="228">
        <v>0</v>
      </c>
      <c r="N53" s="228">
        <v>0</v>
      </c>
      <c r="O53" s="229">
        <v>0</v>
      </c>
    </row>
    <row r="54" spans="1:15" x14ac:dyDescent="0.2">
      <c r="A54" s="212" t="s">
        <v>21</v>
      </c>
      <c r="B54" s="212" t="s">
        <v>70</v>
      </c>
      <c r="C54" s="219">
        <v>9886994.9800000004</v>
      </c>
      <c r="D54" s="220">
        <v>10828293.380000001</v>
      </c>
      <c r="E54" s="220">
        <v>8132145.8200000003</v>
      </c>
      <c r="F54" s="220">
        <v>9133956.2599999998</v>
      </c>
      <c r="G54" s="220">
        <v>11356092.84</v>
      </c>
      <c r="H54" s="220">
        <v>12855446.720000001</v>
      </c>
      <c r="I54" s="220">
        <v>13816915.800000001</v>
      </c>
      <c r="J54" s="220">
        <v>13769850.880000001</v>
      </c>
      <c r="K54" s="220">
        <v>12294029.460000001</v>
      </c>
      <c r="L54" s="220">
        <v>10962764.58</v>
      </c>
      <c r="M54" s="220">
        <v>8232999.2200000007</v>
      </c>
      <c r="N54" s="220">
        <v>9470134.2599999998</v>
      </c>
      <c r="O54" s="221">
        <v>130739624.19999999</v>
      </c>
    </row>
    <row r="55" spans="1:15" x14ac:dyDescent="0.2">
      <c r="A55" s="222"/>
      <c r="B55" s="223" t="s">
        <v>25</v>
      </c>
      <c r="C55" s="224">
        <v>-223339.53999999911</v>
      </c>
      <c r="D55" s="225">
        <v>-244602.73999999836</v>
      </c>
      <c r="E55" s="225">
        <v>-183698.8599999994</v>
      </c>
      <c r="F55" s="225">
        <v>-206328.98000000045</v>
      </c>
      <c r="G55" s="225">
        <v>-256525.3200000003</v>
      </c>
      <c r="H55" s="225">
        <v>-290394.55999999866</v>
      </c>
      <c r="I55" s="225">
        <v>-312113.39999999851</v>
      </c>
      <c r="J55" s="225">
        <v>-311050.23999999836</v>
      </c>
      <c r="K55" s="225">
        <v>-277712.57999999821</v>
      </c>
      <c r="L55" s="225">
        <v>-247640.33999999985</v>
      </c>
      <c r="M55" s="225">
        <v>-185977.05999999866</v>
      </c>
      <c r="N55" s="225">
        <v>-213922.98000000045</v>
      </c>
      <c r="O55" s="226">
        <v>-2953306.5999999903</v>
      </c>
    </row>
    <row r="56" spans="1:15" x14ac:dyDescent="0.2">
      <c r="A56" s="222"/>
      <c r="B56" s="223" t="s">
        <v>26</v>
      </c>
      <c r="C56" s="224">
        <v>-91324.85005279271</v>
      </c>
      <c r="D56" s="225">
        <v>-100019.49745666281</v>
      </c>
      <c r="E56" s="225">
        <v>-75115.54310700632</v>
      </c>
      <c r="F56" s="225">
        <v>-84369.132129696634</v>
      </c>
      <c r="G56" s="225">
        <v>-104894.71046526139</v>
      </c>
      <c r="H56" s="225">
        <v>-118744.0416871402</v>
      </c>
      <c r="I56" s="225">
        <v>-127625.00296395036</v>
      </c>
      <c r="J56" s="225">
        <v>-127190.27059375685</v>
      </c>
      <c r="K56" s="225">
        <v>-113558.30555697481</v>
      </c>
      <c r="L56" s="225">
        <v>-101261.58994292996</v>
      </c>
      <c r="M56" s="225">
        <v>-76047.112471706685</v>
      </c>
      <c r="N56" s="225">
        <v>-87474.363345364516</v>
      </c>
      <c r="O56" s="226">
        <v>-1207624.4197732434</v>
      </c>
    </row>
    <row r="57" spans="1:15" x14ac:dyDescent="0.2">
      <c r="A57" s="222"/>
      <c r="B57" s="223" t="s">
        <v>27</v>
      </c>
      <c r="C57" s="224">
        <v>-314664.3900527918</v>
      </c>
      <c r="D57" s="225">
        <v>-344622.23745666118</v>
      </c>
      <c r="E57" s="225">
        <v>-258814.40310700572</v>
      </c>
      <c r="F57" s="225">
        <v>-290698.11212969711</v>
      </c>
      <c r="G57" s="225">
        <v>-361420.03046526166</v>
      </c>
      <c r="H57" s="225">
        <v>-409138.60168713884</v>
      </c>
      <c r="I57" s="225">
        <v>-439738.4029639489</v>
      </c>
      <c r="J57" s="225">
        <v>-438240.51059375523</v>
      </c>
      <c r="K57" s="225">
        <v>-391270.88555697305</v>
      </c>
      <c r="L57" s="225">
        <v>-348901.92994292983</v>
      </c>
      <c r="M57" s="225">
        <v>-262024.17247170536</v>
      </c>
      <c r="N57" s="225">
        <v>-301397.34334536496</v>
      </c>
      <c r="O57" s="226">
        <v>-4160931.0197732337</v>
      </c>
    </row>
    <row r="58" spans="1:15" x14ac:dyDescent="0.2">
      <c r="A58" s="222"/>
      <c r="B58" s="223" t="s">
        <v>49</v>
      </c>
      <c r="C58" s="227">
        <v>10110334.52</v>
      </c>
      <c r="D58" s="228">
        <v>11072896.119999999</v>
      </c>
      <c r="E58" s="228">
        <v>8315844.6799999997</v>
      </c>
      <c r="F58" s="228">
        <v>9340285.2400000002</v>
      </c>
      <c r="G58" s="228">
        <v>11612618.16</v>
      </c>
      <c r="H58" s="228">
        <v>13145841.279999999</v>
      </c>
      <c r="I58" s="228">
        <v>14129029.199999999</v>
      </c>
      <c r="J58" s="228">
        <v>14080901.119999999</v>
      </c>
      <c r="K58" s="228">
        <v>12571742.039999999</v>
      </c>
      <c r="L58" s="228">
        <v>11210404.92</v>
      </c>
      <c r="M58" s="228">
        <v>8418976.2799999993</v>
      </c>
      <c r="N58" s="228">
        <v>9684057.2400000002</v>
      </c>
      <c r="O58" s="229">
        <v>133692930.80000001</v>
      </c>
    </row>
    <row r="59" spans="1:15" x14ac:dyDescent="0.2">
      <c r="A59" s="222"/>
      <c r="B59" s="223" t="s">
        <v>87</v>
      </c>
      <c r="C59" s="227">
        <v>0</v>
      </c>
      <c r="D59" s="228">
        <v>0</v>
      </c>
      <c r="E59" s="228">
        <v>0</v>
      </c>
      <c r="F59" s="228">
        <v>0</v>
      </c>
      <c r="G59" s="228">
        <v>0</v>
      </c>
      <c r="H59" s="228">
        <v>0</v>
      </c>
      <c r="I59" s="228">
        <v>0</v>
      </c>
      <c r="J59" s="228">
        <v>0</v>
      </c>
      <c r="K59" s="228">
        <v>0</v>
      </c>
      <c r="L59" s="228">
        <v>0</v>
      </c>
      <c r="M59" s="228">
        <v>0</v>
      </c>
      <c r="N59" s="228">
        <v>0</v>
      </c>
      <c r="O59" s="229">
        <v>0</v>
      </c>
    </row>
    <row r="60" spans="1:15" x14ac:dyDescent="0.2">
      <c r="A60" s="222"/>
      <c r="B60" s="223" t="s">
        <v>89</v>
      </c>
      <c r="C60" s="227">
        <v>0</v>
      </c>
      <c r="D60" s="228">
        <v>0</v>
      </c>
      <c r="E60" s="228">
        <v>0</v>
      </c>
      <c r="F60" s="228">
        <v>0</v>
      </c>
      <c r="G60" s="228">
        <v>0</v>
      </c>
      <c r="H60" s="228">
        <v>0</v>
      </c>
      <c r="I60" s="228">
        <v>0</v>
      </c>
      <c r="J60" s="228">
        <v>0</v>
      </c>
      <c r="K60" s="228">
        <v>0</v>
      </c>
      <c r="L60" s="228">
        <v>0</v>
      </c>
      <c r="M60" s="228">
        <v>0</v>
      </c>
      <c r="N60" s="228">
        <v>0</v>
      </c>
      <c r="O60" s="229">
        <v>0</v>
      </c>
    </row>
    <row r="61" spans="1:15" x14ac:dyDescent="0.2">
      <c r="A61" s="212" t="s">
        <v>22</v>
      </c>
      <c r="B61" s="212" t="s">
        <v>70</v>
      </c>
      <c r="C61" s="219">
        <v>11477116.92</v>
      </c>
      <c r="D61" s="220">
        <v>11194727.4</v>
      </c>
      <c r="E61" s="220">
        <v>8347299.7400000002</v>
      </c>
      <c r="F61" s="220">
        <v>8569177.2200000007</v>
      </c>
      <c r="G61" s="220">
        <v>10108872.460000001</v>
      </c>
      <c r="H61" s="220">
        <v>11352731.060000001</v>
      </c>
      <c r="I61" s="220">
        <v>12515906.940000001</v>
      </c>
      <c r="J61" s="220">
        <v>12489012.700000001</v>
      </c>
      <c r="K61" s="220">
        <v>10945955.680000002</v>
      </c>
      <c r="L61" s="220">
        <v>10132404.92</v>
      </c>
      <c r="M61" s="220">
        <v>7859841.6400000006</v>
      </c>
      <c r="N61" s="220">
        <v>9981124.8200000003</v>
      </c>
      <c r="O61" s="221">
        <v>124974171.50000003</v>
      </c>
    </row>
    <row r="62" spans="1:15" x14ac:dyDescent="0.2">
      <c r="A62" s="222"/>
      <c r="B62" s="223" t="s">
        <v>25</v>
      </c>
      <c r="C62" s="224">
        <v>-259259.16000000015</v>
      </c>
      <c r="D62" s="225">
        <v>-252880.19999999925</v>
      </c>
      <c r="E62" s="225">
        <v>-188559.01999999955</v>
      </c>
      <c r="F62" s="225">
        <v>-193571.05999999866</v>
      </c>
      <c r="G62" s="225">
        <v>-228351.57999999821</v>
      </c>
      <c r="H62" s="225">
        <v>-256449.37999999896</v>
      </c>
      <c r="I62" s="225">
        <v>-282724.61999999732</v>
      </c>
      <c r="J62" s="225">
        <v>-282117.09999999776</v>
      </c>
      <c r="K62" s="225">
        <v>-247260.63999999687</v>
      </c>
      <c r="L62" s="225">
        <v>-228883.16000000015</v>
      </c>
      <c r="M62" s="225">
        <v>-177547.71999999881</v>
      </c>
      <c r="N62" s="225">
        <v>-225465.8599999994</v>
      </c>
      <c r="O62" s="226">
        <v>-2823069.4999999851</v>
      </c>
    </row>
    <row r="63" spans="1:15" x14ac:dyDescent="0.2">
      <c r="A63" s="222"/>
      <c r="B63" s="223" t="s">
        <v>26</v>
      </c>
      <c r="C63" s="224">
        <v>-106012.59370290185</v>
      </c>
      <c r="D63" s="225">
        <v>-103404.19948174081</v>
      </c>
      <c r="E63" s="225">
        <v>-77102.891085033756</v>
      </c>
      <c r="F63" s="225">
        <v>-79152.343687374567</v>
      </c>
      <c r="G63" s="225">
        <v>-93374.302655133521</v>
      </c>
      <c r="H63" s="225">
        <v>-104863.65815310473</v>
      </c>
      <c r="I63" s="225">
        <v>-115607.75815931564</v>
      </c>
      <c r="J63" s="225">
        <v>-115359.33966206219</v>
      </c>
      <c r="K63" s="225">
        <v>-101106.32838214657</v>
      </c>
      <c r="L63" s="225">
        <v>-93591.668840230268</v>
      </c>
      <c r="M63" s="225">
        <v>-72600.30582231532</v>
      </c>
      <c r="N63" s="225">
        <v>-92194.314793179728</v>
      </c>
      <c r="O63" s="226">
        <v>-1154369.7044245391</v>
      </c>
    </row>
    <row r="64" spans="1:15" x14ac:dyDescent="0.2">
      <c r="A64" s="222"/>
      <c r="B64" s="223" t="s">
        <v>27</v>
      </c>
      <c r="C64" s="224">
        <v>-365271.753702902</v>
      </c>
      <c r="D64" s="225">
        <v>-356284.39948174008</v>
      </c>
      <c r="E64" s="225">
        <v>-265661.91108503332</v>
      </c>
      <c r="F64" s="225">
        <v>-272723.40368737321</v>
      </c>
      <c r="G64" s="225">
        <v>-321725.88265513175</v>
      </c>
      <c r="H64" s="225">
        <v>-361313.03815310367</v>
      </c>
      <c r="I64" s="225">
        <v>-398332.37815931294</v>
      </c>
      <c r="J64" s="225">
        <v>-397476.43966205994</v>
      </c>
      <c r="K64" s="225">
        <v>-348366.96838214342</v>
      </c>
      <c r="L64" s="225">
        <v>-322474.82884023042</v>
      </c>
      <c r="M64" s="225">
        <v>-250148.02582231414</v>
      </c>
      <c r="N64" s="225">
        <v>-317660.17479317915</v>
      </c>
      <c r="O64" s="226">
        <v>-3977439.2044245237</v>
      </c>
    </row>
    <row r="65" spans="1:15" x14ac:dyDescent="0.2">
      <c r="A65" s="222"/>
      <c r="B65" s="223" t="s">
        <v>49</v>
      </c>
      <c r="C65" s="227">
        <v>11736376.08</v>
      </c>
      <c r="D65" s="228">
        <v>11447607.6</v>
      </c>
      <c r="E65" s="228">
        <v>8535858.7599999998</v>
      </c>
      <c r="F65" s="228">
        <v>8762748.2799999993</v>
      </c>
      <c r="G65" s="228">
        <v>10337224.039999999</v>
      </c>
      <c r="H65" s="228">
        <v>11609180.439999999</v>
      </c>
      <c r="I65" s="228">
        <v>12798631.559999999</v>
      </c>
      <c r="J65" s="228">
        <v>12771129.799999999</v>
      </c>
      <c r="K65" s="228">
        <v>11193216.319999998</v>
      </c>
      <c r="L65" s="228">
        <v>10361288.08</v>
      </c>
      <c r="M65" s="228">
        <v>8037389.3599999994</v>
      </c>
      <c r="N65" s="228">
        <v>10206590.68</v>
      </c>
      <c r="O65" s="229">
        <v>127797240.99999997</v>
      </c>
    </row>
    <row r="66" spans="1:15" x14ac:dyDescent="0.2">
      <c r="A66" s="222"/>
      <c r="B66" s="223" t="s">
        <v>87</v>
      </c>
      <c r="C66" s="227">
        <v>0</v>
      </c>
      <c r="D66" s="228">
        <v>0</v>
      </c>
      <c r="E66" s="228">
        <v>0</v>
      </c>
      <c r="F66" s="228">
        <v>0</v>
      </c>
      <c r="G66" s="228">
        <v>0</v>
      </c>
      <c r="H66" s="228">
        <v>0</v>
      </c>
      <c r="I66" s="228">
        <v>0</v>
      </c>
      <c r="J66" s="228">
        <v>0</v>
      </c>
      <c r="K66" s="228">
        <v>0</v>
      </c>
      <c r="L66" s="228">
        <v>0</v>
      </c>
      <c r="M66" s="228">
        <v>0</v>
      </c>
      <c r="N66" s="228">
        <v>0</v>
      </c>
      <c r="O66" s="229">
        <v>0</v>
      </c>
    </row>
    <row r="67" spans="1:15" x14ac:dyDescent="0.2">
      <c r="A67" s="222"/>
      <c r="B67" s="223" t="s">
        <v>89</v>
      </c>
      <c r="C67" s="227">
        <v>0</v>
      </c>
      <c r="D67" s="228">
        <v>0</v>
      </c>
      <c r="E67" s="228">
        <v>0</v>
      </c>
      <c r="F67" s="228">
        <v>0</v>
      </c>
      <c r="G67" s="228">
        <v>0</v>
      </c>
      <c r="H67" s="228">
        <v>0</v>
      </c>
      <c r="I67" s="228">
        <v>0</v>
      </c>
      <c r="J67" s="228">
        <v>0</v>
      </c>
      <c r="K67" s="228">
        <v>0</v>
      </c>
      <c r="L67" s="228">
        <v>0</v>
      </c>
      <c r="M67" s="228">
        <v>0</v>
      </c>
      <c r="N67" s="228">
        <v>0</v>
      </c>
      <c r="O67" s="229">
        <v>0</v>
      </c>
    </row>
    <row r="68" spans="1:15" x14ac:dyDescent="0.2">
      <c r="A68" s="212" t="s">
        <v>9</v>
      </c>
      <c r="B68" s="212" t="s">
        <v>70</v>
      </c>
      <c r="C68" s="219">
        <v>225239.26</v>
      </c>
      <c r="D68" s="220">
        <v>238686.38</v>
      </c>
      <c r="E68" s="220">
        <v>164727.22</v>
      </c>
      <c r="F68" s="220">
        <v>124385.86</v>
      </c>
      <c r="G68" s="220">
        <v>168089</v>
      </c>
      <c r="H68" s="220">
        <v>181536.12000000002</v>
      </c>
      <c r="I68" s="220">
        <v>208430.36000000002</v>
      </c>
      <c r="J68" s="220">
        <v>184897.90000000002</v>
      </c>
      <c r="K68" s="220">
        <v>168089</v>
      </c>
      <c r="L68" s="220">
        <v>158003.66</v>
      </c>
      <c r="M68" s="220">
        <v>161365.44</v>
      </c>
      <c r="N68" s="220">
        <v>194983.24000000002</v>
      </c>
      <c r="O68" s="221">
        <v>2178433.44</v>
      </c>
    </row>
    <row r="69" spans="1:15" x14ac:dyDescent="0.2">
      <c r="A69" s="222"/>
      <c r="B69" s="223" t="s">
        <v>25</v>
      </c>
      <c r="C69" s="224">
        <v>-5087.9799999999814</v>
      </c>
      <c r="D69" s="225">
        <v>-5391.7399999999907</v>
      </c>
      <c r="E69" s="225">
        <v>-3721.0599999999977</v>
      </c>
      <c r="F69" s="225">
        <v>-2809.7799999999988</v>
      </c>
      <c r="G69" s="225">
        <v>-3797</v>
      </c>
      <c r="H69" s="225">
        <v>-4100.7599999999511</v>
      </c>
      <c r="I69" s="225">
        <v>-4708.2799999999697</v>
      </c>
      <c r="J69" s="225">
        <v>-4176.6999999999534</v>
      </c>
      <c r="K69" s="225">
        <v>-3797</v>
      </c>
      <c r="L69" s="225">
        <v>-3569.179999999993</v>
      </c>
      <c r="M69" s="225">
        <v>-3645.1199999999953</v>
      </c>
      <c r="N69" s="225">
        <v>-4404.5199999999604</v>
      </c>
      <c r="O69" s="226">
        <v>-49209.119999999792</v>
      </c>
    </row>
    <row r="70" spans="1:15" x14ac:dyDescent="0.2">
      <c r="A70" s="222"/>
      <c r="B70" s="223" t="s">
        <v>26</v>
      </c>
      <c r="C70" s="224">
        <v>-2080.5049144974878</v>
      </c>
      <c r="D70" s="225">
        <v>-2204.7141631242034</v>
      </c>
      <c r="E70" s="225">
        <v>-1521.5632956772672</v>
      </c>
      <c r="F70" s="225">
        <v>-1148.9355497971201</v>
      </c>
      <c r="G70" s="225">
        <v>-1552.6156078339461</v>
      </c>
      <c r="H70" s="225">
        <v>-1676.824856460662</v>
      </c>
      <c r="I70" s="225">
        <v>-1925.2433537140932</v>
      </c>
      <c r="J70" s="225">
        <v>-1707.8771686173409</v>
      </c>
      <c r="K70" s="225">
        <v>-1552.6156078339461</v>
      </c>
      <c r="L70" s="225">
        <v>-1459.4586713639094</v>
      </c>
      <c r="M70" s="225">
        <v>-1490.5109835205883</v>
      </c>
      <c r="N70" s="225">
        <v>-1801.0341050873776</v>
      </c>
      <c r="O70" s="226">
        <v>-20121.898277527944</v>
      </c>
    </row>
    <row r="71" spans="1:15" x14ac:dyDescent="0.2">
      <c r="A71" s="222"/>
      <c r="B71" s="223" t="s">
        <v>27</v>
      </c>
      <c r="C71" s="224">
        <v>-7168.4849144974687</v>
      </c>
      <c r="D71" s="225">
        <v>-7596.4541631241937</v>
      </c>
      <c r="E71" s="225">
        <v>-5242.6232956772647</v>
      </c>
      <c r="F71" s="225">
        <v>-3958.7155497971189</v>
      </c>
      <c r="G71" s="225">
        <v>-5349.6156078339463</v>
      </c>
      <c r="H71" s="225">
        <v>-5777.5848564606131</v>
      </c>
      <c r="I71" s="225">
        <v>-6633.523353714063</v>
      </c>
      <c r="J71" s="225">
        <v>-5884.5771686172939</v>
      </c>
      <c r="K71" s="225">
        <v>-5349.6156078339463</v>
      </c>
      <c r="L71" s="225">
        <v>-5028.6386713639022</v>
      </c>
      <c r="M71" s="225">
        <v>-5135.6309835205839</v>
      </c>
      <c r="N71" s="225">
        <v>-6205.554105087338</v>
      </c>
      <c r="O71" s="226">
        <v>-69331.018277527735</v>
      </c>
    </row>
    <row r="72" spans="1:15" x14ac:dyDescent="0.2">
      <c r="A72" s="222"/>
      <c r="B72" s="223" t="s">
        <v>49</v>
      </c>
      <c r="C72" s="227">
        <v>230327.24</v>
      </c>
      <c r="D72" s="228">
        <v>244078.12</v>
      </c>
      <c r="E72" s="228">
        <v>168448.28</v>
      </c>
      <c r="F72" s="228">
        <v>127195.64</v>
      </c>
      <c r="G72" s="228">
        <v>171886</v>
      </c>
      <c r="H72" s="228">
        <v>185636.87999999998</v>
      </c>
      <c r="I72" s="228">
        <v>213138.63999999998</v>
      </c>
      <c r="J72" s="228">
        <v>189074.59999999998</v>
      </c>
      <c r="K72" s="228">
        <v>171886</v>
      </c>
      <c r="L72" s="228">
        <v>161572.84</v>
      </c>
      <c r="M72" s="228">
        <v>165010.56</v>
      </c>
      <c r="N72" s="228">
        <v>199387.75999999998</v>
      </c>
      <c r="O72" s="229">
        <v>2227642.56</v>
      </c>
    </row>
    <row r="73" spans="1:15" x14ac:dyDescent="0.2">
      <c r="A73" s="222"/>
      <c r="B73" s="223" t="s">
        <v>87</v>
      </c>
      <c r="C73" s="227">
        <v>0</v>
      </c>
      <c r="D73" s="228">
        <v>0</v>
      </c>
      <c r="E73" s="228">
        <v>0</v>
      </c>
      <c r="F73" s="228">
        <v>0</v>
      </c>
      <c r="G73" s="228">
        <v>0</v>
      </c>
      <c r="H73" s="228">
        <v>0</v>
      </c>
      <c r="I73" s="228">
        <v>0</v>
      </c>
      <c r="J73" s="228">
        <v>0</v>
      </c>
      <c r="K73" s="228">
        <v>0</v>
      </c>
      <c r="L73" s="228">
        <v>0</v>
      </c>
      <c r="M73" s="228">
        <v>0</v>
      </c>
      <c r="N73" s="228">
        <v>0</v>
      </c>
      <c r="O73" s="229">
        <v>0</v>
      </c>
    </row>
    <row r="74" spans="1:15" x14ac:dyDescent="0.2">
      <c r="A74" s="222"/>
      <c r="B74" s="223" t="s">
        <v>89</v>
      </c>
      <c r="C74" s="227">
        <v>0</v>
      </c>
      <c r="D74" s="228">
        <v>0</v>
      </c>
      <c r="E74" s="228">
        <v>0</v>
      </c>
      <c r="F74" s="228">
        <v>0</v>
      </c>
      <c r="G74" s="228">
        <v>0</v>
      </c>
      <c r="H74" s="228">
        <v>0</v>
      </c>
      <c r="I74" s="228">
        <v>0</v>
      </c>
      <c r="J74" s="228">
        <v>0</v>
      </c>
      <c r="K74" s="228">
        <v>0</v>
      </c>
      <c r="L74" s="228">
        <v>0</v>
      </c>
      <c r="M74" s="228">
        <v>0</v>
      </c>
      <c r="N74" s="228">
        <v>0</v>
      </c>
      <c r="O74" s="229">
        <v>0</v>
      </c>
    </row>
    <row r="75" spans="1:15" x14ac:dyDescent="0.2">
      <c r="A75" s="212" t="s">
        <v>54</v>
      </c>
      <c r="B75" s="212" t="s">
        <v>70</v>
      </c>
      <c r="C75" s="219">
        <v>460563.86000000004</v>
      </c>
      <c r="D75" s="220">
        <v>524437.68000000005</v>
      </c>
      <c r="E75" s="220">
        <v>379881.14</v>
      </c>
      <c r="F75" s="220">
        <v>376519.36000000004</v>
      </c>
      <c r="G75" s="220">
        <v>477372.76</v>
      </c>
      <c r="H75" s="220">
        <v>554693.70000000007</v>
      </c>
      <c r="I75" s="220">
        <v>621929.30000000005</v>
      </c>
      <c r="J75" s="220">
        <v>642099.98</v>
      </c>
      <c r="K75" s="220">
        <v>470649.2</v>
      </c>
      <c r="L75" s="220">
        <v>460563.86000000004</v>
      </c>
      <c r="M75" s="220">
        <v>403413.60000000003</v>
      </c>
      <c r="N75" s="220">
        <v>430307.84000000003</v>
      </c>
      <c r="O75" s="221">
        <v>5802432.2800000003</v>
      </c>
    </row>
    <row r="76" spans="1:15" x14ac:dyDescent="0.2">
      <c r="A76" s="222"/>
      <c r="B76" s="223" t="s">
        <v>25</v>
      </c>
      <c r="C76" s="227">
        <v>-10403.779999999912</v>
      </c>
      <c r="D76" s="228">
        <v>-11846.639999999898</v>
      </c>
      <c r="E76" s="228">
        <v>-8581.2199999999721</v>
      </c>
      <c r="F76" s="228">
        <v>-8505.2799999999115</v>
      </c>
      <c r="G76" s="228">
        <v>-10783.479999999981</v>
      </c>
      <c r="H76" s="228">
        <v>-12530.09999999986</v>
      </c>
      <c r="I76" s="228">
        <v>-14048.899999999907</v>
      </c>
      <c r="J76" s="228">
        <v>-14504.540000000037</v>
      </c>
      <c r="K76" s="228">
        <v>-10631.599999999977</v>
      </c>
      <c r="L76" s="228">
        <v>-10403.779999999912</v>
      </c>
      <c r="M76" s="228">
        <v>-9112.7999999999302</v>
      </c>
      <c r="N76" s="228">
        <v>-9720.3199999999488</v>
      </c>
      <c r="O76" s="229">
        <v>-131072.43999999925</v>
      </c>
    </row>
    <row r="77" spans="1:15" x14ac:dyDescent="0.2">
      <c r="A77" s="222"/>
      <c r="B77" s="223" t="s">
        <v>26</v>
      </c>
      <c r="C77" s="227">
        <v>-4254.1667654650118</v>
      </c>
      <c r="D77" s="228">
        <v>-4844.1606964419116</v>
      </c>
      <c r="E77" s="228">
        <v>-3508.911273704718</v>
      </c>
      <c r="F77" s="228">
        <v>-3477.8589615480391</v>
      </c>
      <c r="G77" s="228">
        <v>-4409.4283262484068</v>
      </c>
      <c r="H77" s="228">
        <v>-5123.6315058520222</v>
      </c>
      <c r="I77" s="228">
        <v>-5744.6777489856004</v>
      </c>
      <c r="J77" s="228">
        <v>-5930.9916219256747</v>
      </c>
      <c r="K77" s="228">
        <v>-4347.323701935049</v>
      </c>
      <c r="L77" s="228">
        <v>-4254.1667654650118</v>
      </c>
      <c r="M77" s="228">
        <v>-3726.2774588014704</v>
      </c>
      <c r="N77" s="228">
        <v>-3974.6959560549017</v>
      </c>
      <c r="O77" s="229">
        <v>-53596.290782427823</v>
      </c>
    </row>
    <row r="78" spans="1:15" x14ac:dyDescent="0.2">
      <c r="A78" s="222"/>
      <c r="B78" s="223" t="s">
        <v>27</v>
      </c>
      <c r="C78" s="227">
        <v>-14657.946765464923</v>
      </c>
      <c r="D78" s="228">
        <v>-16690.800696441809</v>
      </c>
      <c r="E78" s="228">
        <v>-12090.13127370469</v>
      </c>
      <c r="F78" s="228">
        <v>-11983.138961547951</v>
      </c>
      <c r="G78" s="228">
        <v>-15192.908326248387</v>
      </c>
      <c r="H78" s="228">
        <v>-17653.731505851883</v>
      </c>
      <c r="I78" s="228">
        <v>-19793.577748985506</v>
      </c>
      <c r="J78" s="228">
        <v>-20435.531621925711</v>
      </c>
      <c r="K78" s="228">
        <v>-14978.923701935026</v>
      </c>
      <c r="L78" s="228">
        <v>-14657.946765464923</v>
      </c>
      <c r="M78" s="228">
        <v>-12839.077458801401</v>
      </c>
      <c r="N78" s="228">
        <v>-13695.015956054851</v>
      </c>
      <c r="O78" s="229">
        <v>-184668.73078242704</v>
      </c>
    </row>
    <row r="79" spans="1:15" x14ac:dyDescent="0.2">
      <c r="A79" s="222"/>
      <c r="B79" s="223" t="s">
        <v>49</v>
      </c>
      <c r="C79" s="227">
        <v>470967.63999999996</v>
      </c>
      <c r="D79" s="228">
        <v>536284.31999999995</v>
      </c>
      <c r="E79" s="228">
        <v>388462.36</v>
      </c>
      <c r="F79" s="228">
        <v>385024.63999999996</v>
      </c>
      <c r="G79" s="228">
        <v>488156.24</v>
      </c>
      <c r="H79" s="228">
        <v>567223.79999999993</v>
      </c>
      <c r="I79" s="228">
        <v>635978.19999999995</v>
      </c>
      <c r="J79" s="228">
        <v>656604.52</v>
      </c>
      <c r="K79" s="228">
        <v>481280.8</v>
      </c>
      <c r="L79" s="228">
        <v>470967.63999999996</v>
      </c>
      <c r="M79" s="228">
        <v>412526.39999999997</v>
      </c>
      <c r="N79" s="228">
        <v>440028.15999999997</v>
      </c>
      <c r="O79" s="229">
        <v>5933504.7199999997</v>
      </c>
    </row>
    <row r="80" spans="1:15" x14ac:dyDescent="0.2">
      <c r="A80" s="222"/>
      <c r="B80" s="223" t="s">
        <v>87</v>
      </c>
      <c r="C80" s="227">
        <v>0</v>
      </c>
      <c r="D80" s="228">
        <v>0</v>
      </c>
      <c r="E80" s="228">
        <v>0</v>
      </c>
      <c r="F80" s="228">
        <v>0</v>
      </c>
      <c r="G80" s="228">
        <v>0</v>
      </c>
      <c r="H80" s="228">
        <v>0</v>
      </c>
      <c r="I80" s="228">
        <v>0</v>
      </c>
      <c r="J80" s="228">
        <v>0</v>
      </c>
      <c r="K80" s="228">
        <v>0</v>
      </c>
      <c r="L80" s="228">
        <v>0</v>
      </c>
      <c r="M80" s="228">
        <v>0</v>
      </c>
      <c r="N80" s="228">
        <v>0</v>
      </c>
      <c r="O80" s="229">
        <v>0</v>
      </c>
    </row>
    <row r="81" spans="1:15" x14ac:dyDescent="0.2">
      <c r="A81" s="222"/>
      <c r="B81" s="223" t="s">
        <v>89</v>
      </c>
      <c r="C81" s="227">
        <v>0</v>
      </c>
      <c r="D81" s="228">
        <v>0</v>
      </c>
      <c r="E81" s="228">
        <v>0</v>
      </c>
      <c r="F81" s="228">
        <v>0</v>
      </c>
      <c r="G81" s="228">
        <v>0</v>
      </c>
      <c r="H81" s="228">
        <v>0</v>
      </c>
      <c r="I81" s="228">
        <v>0</v>
      </c>
      <c r="J81" s="228">
        <v>0</v>
      </c>
      <c r="K81" s="228">
        <v>0</v>
      </c>
      <c r="L81" s="228">
        <v>0</v>
      </c>
      <c r="M81" s="228">
        <v>0</v>
      </c>
      <c r="N81" s="228">
        <v>0</v>
      </c>
      <c r="O81" s="229">
        <v>0</v>
      </c>
    </row>
    <row r="82" spans="1:15" x14ac:dyDescent="0.2">
      <c r="A82" s="212" t="s">
        <v>55</v>
      </c>
      <c r="B82" s="212" t="s">
        <v>70</v>
      </c>
      <c r="C82" s="219">
        <v>36979.58</v>
      </c>
      <c r="D82" s="220">
        <v>30256.02</v>
      </c>
      <c r="E82" s="220">
        <v>26894.240000000002</v>
      </c>
      <c r="F82" s="220">
        <v>33617.800000000003</v>
      </c>
      <c r="G82" s="220">
        <v>36979.58</v>
      </c>
      <c r="H82" s="220">
        <v>36979.58</v>
      </c>
      <c r="I82" s="220">
        <v>47064.920000000006</v>
      </c>
      <c r="J82" s="220">
        <v>36979.58</v>
      </c>
      <c r="K82" s="220">
        <v>40341.360000000001</v>
      </c>
      <c r="L82" s="220">
        <v>43703.14</v>
      </c>
      <c r="M82" s="220">
        <v>33617.800000000003</v>
      </c>
      <c r="N82" s="220">
        <v>23532.460000000003</v>
      </c>
      <c r="O82" s="221">
        <v>426946.06000000006</v>
      </c>
    </row>
    <row r="83" spans="1:15" x14ac:dyDescent="0.2">
      <c r="A83" s="222"/>
      <c r="B83" s="223" t="s">
        <v>25</v>
      </c>
      <c r="C83" s="227">
        <v>-835.33999999999651</v>
      </c>
      <c r="D83" s="228">
        <v>-683.45999999999913</v>
      </c>
      <c r="E83" s="228">
        <v>-607.5199999999968</v>
      </c>
      <c r="F83" s="228">
        <v>-759.39999999999418</v>
      </c>
      <c r="G83" s="228">
        <v>-835.33999999999651</v>
      </c>
      <c r="H83" s="228">
        <v>-835.33999999999651</v>
      </c>
      <c r="I83" s="228">
        <v>-1063.1599999999889</v>
      </c>
      <c r="J83" s="228">
        <v>-835.33999999999651</v>
      </c>
      <c r="K83" s="228">
        <v>-911.27999999999884</v>
      </c>
      <c r="L83" s="228">
        <v>-987.22000000000116</v>
      </c>
      <c r="M83" s="228">
        <v>-759.39999999999418</v>
      </c>
      <c r="N83" s="228">
        <v>-531.57999999999447</v>
      </c>
      <c r="O83" s="229">
        <v>-9644.3799999999537</v>
      </c>
    </row>
    <row r="84" spans="1:15" x14ac:dyDescent="0.2">
      <c r="A84" s="222"/>
      <c r="B84" s="223" t="s">
        <v>26</v>
      </c>
      <c r="C84" s="227">
        <v>-341.57543372346817</v>
      </c>
      <c r="D84" s="228">
        <v>-279.47080941011029</v>
      </c>
      <c r="E84" s="228">
        <v>-248.41849725343135</v>
      </c>
      <c r="F84" s="228">
        <v>-310.5231215667892</v>
      </c>
      <c r="G84" s="228">
        <v>-341.57543372346817</v>
      </c>
      <c r="H84" s="228">
        <v>-341.57543372346817</v>
      </c>
      <c r="I84" s="228">
        <v>-434.73237019350489</v>
      </c>
      <c r="J84" s="228">
        <v>-341.57543372346817</v>
      </c>
      <c r="K84" s="228">
        <v>-372.62774588014707</v>
      </c>
      <c r="L84" s="228">
        <v>-403.68005803682598</v>
      </c>
      <c r="M84" s="228">
        <v>-310.5231215667892</v>
      </c>
      <c r="N84" s="228">
        <v>-217.36618509675245</v>
      </c>
      <c r="O84" s="229">
        <v>-3943.6436438982223</v>
      </c>
    </row>
    <row r="85" spans="1:15" x14ac:dyDescent="0.2">
      <c r="A85" s="222"/>
      <c r="B85" s="223" t="s">
        <v>27</v>
      </c>
      <c r="C85" s="227">
        <v>-1176.9154337234647</v>
      </c>
      <c r="D85" s="228">
        <v>-962.93080941010942</v>
      </c>
      <c r="E85" s="228">
        <v>-855.93849725342818</v>
      </c>
      <c r="F85" s="228">
        <v>-1069.9231215667833</v>
      </c>
      <c r="G85" s="228">
        <v>-1176.9154337234647</v>
      </c>
      <c r="H85" s="228">
        <v>-1176.9154337234647</v>
      </c>
      <c r="I85" s="228">
        <v>-1497.8923701934939</v>
      </c>
      <c r="J85" s="228">
        <v>-1176.9154337234647</v>
      </c>
      <c r="K85" s="228">
        <v>-1283.907745880146</v>
      </c>
      <c r="L85" s="228">
        <v>-1390.9000580368272</v>
      </c>
      <c r="M85" s="228">
        <v>-1069.9231215667833</v>
      </c>
      <c r="N85" s="228">
        <v>-748.94618509674694</v>
      </c>
      <c r="O85" s="229">
        <v>-13588.023643898176</v>
      </c>
    </row>
    <row r="86" spans="1:15" x14ac:dyDescent="0.2">
      <c r="A86" s="222"/>
      <c r="B86" s="223" t="s">
        <v>49</v>
      </c>
      <c r="C86" s="227">
        <v>37814.92</v>
      </c>
      <c r="D86" s="228">
        <v>30939.48</v>
      </c>
      <c r="E86" s="228">
        <v>27501.759999999998</v>
      </c>
      <c r="F86" s="228">
        <v>34377.199999999997</v>
      </c>
      <c r="G86" s="228">
        <v>37814.92</v>
      </c>
      <c r="H86" s="228">
        <v>37814.92</v>
      </c>
      <c r="I86" s="228">
        <v>48128.079999999994</v>
      </c>
      <c r="J86" s="228">
        <v>37814.92</v>
      </c>
      <c r="K86" s="228">
        <v>41252.639999999999</v>
      </c>
      <c r="L86" s="228">
        <v>44690.36</v>
      </c>
      <c r="M86" s="228">
        <v>34377.199999999997</v>
      </c>
      <c r="N86" s="228">
        <v>24064.039999999997</v>
      </c>
      <c r="O86" s="229">
        <v>436590.43999999994</v>
      </c>
    </row>
    <row r="87" spans="1:15" x14ac:dyDescent="0.2">
      <c r="A87" s="222"/>
      <c r="B87" s="223" t="s">
        <v>87</v>
      </c>
      <c r="C87" s="227">
        <v>0</v>
      </c>
      <c r="D87" s="228">
        <v>0</v>
      </c>
      <c r="E87" s="228">
        <v>0</v>
      </c>
      <c r="F87" s="228">
        <v>0</v>
      </c>
      <c r="G87" s="228">
        <v>0</v>
      </c>
      <c r="H87" s="228">
        <v>0</v>
      </c>
      <c r="I87" s="228">
        <v>0</v>
      </c>
      <c r="J87" s="228">
        <v>0</v>
      </c>
      <c r="K87" s="228">
        <v>0</v>
      </c>
      <c r="L87" s="228">
        <v>0</v>
      </c>
      <c r="M87" s="228">
        <v>0</v>
      </c>
      <c r="N87" s="228">
        <v>0</v>
      </c>
      <c r="O87" s="229">
        <v>0</v>
      </c>
    </row>
    <row r="88" spans="1:15" x14ac:dyDescent="0.2">
      <c r="A88" s="222"/>
      <c r="B88" s="223" t="s">
        <v>89</v>
      </c>
      <c r="C88" s="227">
        <v>0</v>
      </c>
      <c r="D88" s="228">
        <v>0</v>
      </c>
      <c r="E88" s="228">
        <v>0</v>
      </c>
      <c r="F88" s="228">
        <v>0</v>
      </c>
      <c r="G88" s="228">
        <v>0</v>
      </c>
      <c r="H88" s="228">
        <v>0</v>
      </c>
      <c r="I88" s="228">
        <v>0</v>
      </c>
      <c r="J88" s="228">
        <v>0</v>
      </c>
      <c r="K88" s="228">
        <v>0</v>
      </c>
      <c r="L88" s="228">
        <v>0</v>
      </c>
      <c r="M88" s="228">
        <v>0</v>
      </c>
      <c r="N88" s="228">
        <v>0</v>
      </c>
      <c r="O88" s="229">
        <v>0</v>
      </c>
    </row>
    <row r="89" spans="1:15" x14ac:dyDescent="0.2">
      <c r="A89" s="212" t="s">
        <v>56</v>
      </c>
      <c r="B89" s="212" t="s">
        <v>70</v>
      </c>
      <c r="C89" s="219">
        <v>0</v>
      </c>
      <c r="D89" s="220">
        <v>0</v>
      </c>
      <c r="E89" s="220">
        <v>0</v>
      </c>
      <c r="F89" s="220">
        <v>0</v>
      </c>
      <c r="G89" s="220">
        <v>0</v>
      </c>
      <c r="H89" s="220">
        <v>0</v>
      </c>
      <c r="I89" s="220">
        <v>0</v>
      </c>
      <c r="J89" s="220">
        <v>0</v>
      </c>
      <c r="K89" s="220">
        <v>0</v>
      </c>
      <c r="L89" s="220">
        <v>0</v>
      </c>
      <c r="M89" s="220">
        <v>0</v>
      </c>
      <c r="N89" s="220">
        <v>0</v>
      </c>
      <c r="O89" s="221">
        <v>0</v>
      </c>
    </row>
    <row r="90" spans="1:15" x14ac:dyDescent="0.2">
      <c r="A90" s="222"/>
      <c r="B90" s="223" t="s">
        <v>25</v>
      </c>
      <c r="C90" s="227">
        <v>0</v>
      </c>
      <c r="D90" s="228">
        <v>0</v>
      </c>
      <c r="E90" s="228">
        <v>0</v>
      </c>
      <c r="F90" s="228">
        <v>0</v>
      </c>
      <c r="G90" s="228">
        <v>0</v>
      </c>
      <c r="H90" s="228">
        <v>0</v>
      </c>
      <c r="I90" s="228">
        <v>0</v>
      </c>
      <c r="J90" s="228">
        <v>0</v>
      </c>
      <c r="K90" s="228">
        <v>0</v>
      </c>
      <c r="L90" s="228">
        <v>0</v>
      </c>
      <c r="M90" s="228">
        <v>0</v>
      </c>
      <c r="N90" s="228">
        <v>0</v>
      </c>
      <c r="O90" s="229">
        <v>0</v>
      </c>
    </row>
    <row r="91" spans="1:15" x14ac:dyDescent="0.2">
      <c r="A91" s="222"/>
      <c r="B91" s="223" t="s">
        <v>26</v>
      </c>
      <c r="C91" s="227">
        <v>0</v>
      </c>
      <c r="D91" s="228">
        <v>0</v>
      </c>
      <c r="E91" s="228">
        <v>0</v>
      </c>
      <c r="F91" s="228">
        <v>0</v>
      </c>
      <c r="G91" s="228">
        <v>0</v>
      </c>
      <c r="H91" s="228">
        <v>0</v>
      </c>
      <c r="I91" s="228">
        <v>0</v>
      </c>
      <c r="J91" s="228">
        <v>0</v>
      </c>
      <c r="K91" s="228">
        <v>0</v>
      </c>
      <c r="L91" s="228">
        <v>0</v>
      </c>
      <c r="M91" s="228">
        <v>0</v>
      </c>
      <c r="N91" s="228">
        <v>0</v>
      </c>
      <c r="O91" s="229">
        <v>0</v>
      </c>
    </row>
    <row r="92" spans="1:15" x14ac:dyDescent="0.2">
      <c r="A92" s="222"/>
      <c r="B92" s="223" t="s">
        <v>27</v>
      </c>
      <c r="C92" s="227">
        <v>0</v>
      </c>
      <c r="D92" s="228">
        <v>0</v>
      </c>
      <c r="E92" s="228">
        <v>0</v>
      </c>
      <c r="F92" s="228">
        <v>0</v>
      </c>
      <c r="G92" s="228">
        <v>0</v>
      </c>
      <c r="H92" s="228">
        <v>0</v>
      </c>
      <c r="I92" s="228">
        <v>0</v>
      </c>
      <c r="J92" s="228">
        <v>0</v>
      </c>
      <c r="K92" s="228">
        <v>0</v>
      </c>
      <c r="L92" s="228">
        <v>0</v>
      </c>
      <c r="M92" s="228">
        <v>0</v>
      </c>
      <c r="N92" s="228">
        <v>0</v>
      </c>
      <c r="O92" s="229">
        <v>0</v>
      </c>
    </row>
    <row r="93" spans="1:15" x14ac:dyDescent="0.2">
      <c r="A93" s="222"/>
      <c r="B93" s="223" t="s">
        <v>49</v>
      </c>
      <c r="C93" s="227">
        <v>0</v>
      </c>
      <c r="D93" s="228">
        <v>0</v>
      </c>
      <c r="E93" s="228">
        <v>0</v>
      </c>
      <c r="F93" s="228">
        <v>0</v>
      </c>
      <c r="G93" s="228">
        <v>0</v>
      </c>
      <c r="H93" s="228">
        <v>0</v>
      </c>
      <c r="I93" s="228">
        <v>0</v>
      </c>
      <c r="J93" s="228">
        <v>0</v>
      </c>
      <c r="K93" s="228">
        <v>0</v>
      </c>
      <c r="L93" s="228">
        <v>0</v>
      </c>
      <c r="M93" s="228">
        <v>0</v>
      </c>
      <c r="N93" s="228">
        <v>0</v>
      </c>
      <c r="O93" s="229">
        <v>0</v>
      </c>
    </row>
    <row r="94" spans="1:15" x14ac:dyDescent="0.2">
      <c r="A94" s="222"/>
      <c r="B94" s="223" t="s">
        <v>87</v>
      </c>
      <c r="C94" s="227">
        <v>0</v>
      </c>
      <c r="D94" s="228">
        <v>0</v>
      </c>
      <c r="E94" s="228">
        <v>0</v>
      </c>
      <c r="F94" s="228">
        <v>0</v>
      </c>
      <c r="G94" s="228">
        <v>0</v>
      </c>
      <c r="H94" s="228">
        <v>0</v>
      </c>
      <c r="I94" s="228">
        <v>0</v>
      </c>
      <c r="J94" s="228">
        <v>0</v>
      </c>
      <c r="K94" s="228">
        <v>0</v>
      </c>
      <c r="L94" s="228">
        <v>0</v>
      </c>
      <c r="M94" s="228">
        <v>0</v>
      </c>
      <c r="N94" s="228">
        <v>0</v>
      </c>
      <c r="O94" s="229">
        <v>0</v>
      </c>
    </row>
    <row r="95" spans="1:15" x14ac:dyDescent="0.2">
      <c r="A95" s="222"/>
      <c r="B95" s="223" t="s">
        <v>89</v>
      </c>
      <c r="C95" s="227">
        <v>0</v>
      </c>
      <c r="D95" s="228">
        <v>0</v>
      </c>
      <c r="E95" s="228">
        <v>0</v>
      </c>
      <c r="F95" s="228">
        <v>0</v>
      </c>
      <c r="G95" s="228">
        <v>0</v>
      </c>
      <c r="H95" s="228">
        <v>0</v>
      </c>
      <c r="I95" s="228">
        <v>0</v>
      </c>
      <c r="J95" s="228">
        <v>0</v>
      </c>
      <c r="K95" s="228">
        <v>0</v>
      </c>
      <c r="L95" s="228">
        <v>0</v>
      </c>
      <c r="M95" s="228">
        <v>0</v>
      </c>
      <c r="N95" s="228">
        <v>0</v>
      </c>
      <c r="O95" s="229">
        <v>0</v>
      </c>
    </row>
    <row r="96" spans="1:15" x14ac:dyDescent="0.2">
      <c r="A96" s="212" t="s">
        <v>57</v>
      </c>
      <c r="B96" s="212" t="s">
        <v>70</v>
      </c>
      <c r="C96" s="219">
        <v>124385.86</v>
      </c>
      <c r="D96" s="220">
        <v>141194.76</v>
      </c>
      <c r="E96" s="220">
        <v>100853.40000000001</v>
      </c>
      <c r="F96" s="220">
        <v>107576.96000000001</v>
      </c>
      <c r="G96" s="220">
        <v>131109.42000000001</v>
      </c>
      <c r="H96" s="220">
        <v>158003.66</v>
      </c>
      <c r="I96" s="220">
        <v>178174.34</v>
      </c>
      <c r="J96" s="220">
        <v>174812.56</v>
      </c>
      <c r="K96" s="220">
        <v>151280.1</v>
      </c>
      <c r="L96" s="220">
        <v>137832.98000000001</v>
      </c>
      <c r="M96" s="220">
        <v>97491.62000000001</v>
      </c>
      <c r="N96" s="220">
        <v>121024.08</v>
      </c>
      <c r="O96" s="221">
        <v>1623739.7400000002</v>
      </c>
    </row>
    <row r="97" spans="1:15" x14ac:dyDescent="0.2">
      <c r="A97" s="222"/>
      <c r="B97" s="223" t="s">
        <v>25</v>
      </c>
      <c r="C97" s="227">
        <v>-2809.7799999999988</v>
      </c>
      <c r="D97" s="228">
        <v>-3189.4799999999814</v>
      </c>
      <c r="E97" s="228">
        <v>-2278.1999999999825</v>
      </c>
      <c r="F97" s="228">
        <v>-2430.0799999999872</v>
      </c>
      <c r="G97" s="228">
        <v>-2961.6599999999744</v>
      </c>
      <c r="H97" s="228">
        <v>-3569.179999999993</v>
      </c>
      <c r="I97" s="228">
        <v>-4024.820000000007</v>
      </c>
      <c r="J97" s="228">
        <v>-3948.8800000000047</v>
      </c>
      <c r="K97" s="228">
        <v>-3417.2999999999884</v>
      </c>
      <c r="L97" s="228">
        <v>-3113.539999999979</v>
      </c>
      <c r="M97" s="228">
        <v>-2202.2599999999802</v>
      </c>
      <c r="N97" s="228">
        <v>-2733.8399999999965</v>
      </c>
      <c r="O97" s="229">
        <v>-36679.019999999873</v>
      </c>
    </row>
    <row r="98" spans="1:15" x14ac:dyDescent="0.2">
      <c r="A98" s="222"/>
      <c r="B98" s="223" t="s">
        <v>26</v>
      </c>
      <c r="C98" s="227">
        <v>-1148.9355497971201</v>
      </c>
      <c r="D98" s="228">
        <v>-1304.1971105805146</v>
      </c>
      <c r="E98" s="228">
        <v>-931.5693647003676</v>
      </c>
      <c r="F98" s="228">
        <v>-993.67398901372542</v>
      </c>
      <c r="G98" s="228">
        <v>-1211.0401741104779</v>
      </c>
      <c r="H98" s="228">
        <v>-1459.4586713639094</v>
      </c>
      <c r="I98" s="228">
        <v>-1645.7725443039828</v>
      </c>
      <c r="J98" s="228">
        <v>-1614.7202321473039</v>
      </c>
      <c r="K98" s="228">
        <v>-1397.3540470505516</v>
      </c>
      <c r="L98" s="228">
        <v>-1273.1447984238357</v>
      </c>
      <c r="M98" s="228">
        <v>-900.51705254368881</v>
      </c>
      <c r="N98" s="228">
        <v>-1117.8832376404412</v>
      </c>
      <c r="O98" s="229">
        <v>-14998.266771675919</v>
      </c>
    </row>
    <row r="99" spans="1:15" x14ac:dyDescent="0.2">
      <c r="A99" s="222"/>
      <c r="B99" s="223" t="s">
        <v>27</v>
      </c>
      <c r="C99" s="227">
        <v>-3958.7155497971189</v>
      </c>
      <c r="D99" s="228">
        <v>-4493.6771105804964</v>
      </c>
      <c r="E99" s="228">
        <v>-3209.7693647003503</v>
      </c>
      <c r="F99" s="228">
        <v>-3423.7539890137127</v>
      </c>
      <c r="G99" s="228">
        <v>-4172.7001741104523</v>
      </c>
      <c r="H99" s="228">
        <v>-5028.6386713639022</v>
      </c>
      <c r="I99" s="228">
        <v>-5670.5925443039896</v>
      </c>
      <c r="J99" s="228">
        <v>-5563.6002321473088</v>
      </c>
      <c r="K99" s="228">
        <v>-4814.6540470505397</v>
      </c>
      <c r="L99" s="228">
        <v>-4386.6847984238148</v>
      </c>
      <c r="M99" s="228">
        <v>-3102.777052543669</v>
      </c>
      <c r="N99" s="228">
        <v>-3851.7232376404377</v>
      </c>
      <c r="O99" s="229">
        <v>-51677.28677167579</v>
      </c>
    </row>
    <row r="100" spans="1:15" x14ac:dyDescent="0.2">
      <c r="A100" s="222"/>
      <c r="B100" s="223" t="s">
        <v>49</v>
      </c>
      <c r="C100" s="227">
        <v>127195.64</v>
      </c>
      <c r="D100" s="228">
        <v>144384.24</v>
      </c>
      <c r="E100" s="228">
        <v>103131.59999999999</v>
      </c>
      <c r="F100" s="228">
        <v>110007.03999999999</v>
      </c>
      <c r="G100" s="228">
        <v>134071.07999999999</v>
      </c>
      <c r="H100" s="228">
        <v>161572.84</v>
      </c>
      <c r="I100" s="228">
        <v>182199.16</v>
      </c>
      <c r="J100" s="228">
        <v>178761.44</v>
      </c>
      <c r="K100" s="228">
        <v>154697.4</v>
      </c>
      <c r="L100" s="228">
        <v>140946.51999999999</v>
      </c>
      <c r="M100" s="228">
        <v>99693.87999999999</v>
      </c>
      <c r="N100" s="228">
        <v>123757.92</v>
      </c>
      <c r="O100" s="229">
        <v>1660418.7599999998</v>
      </c>
    </row>
    <row r="101" spans="1:15" x14ac:dyDescent="0.2">
      <c r="A101" s="222"/>
      <c r="B101" s="223" t="s">
        <v>87</v>
      </c>
      <c r="C101" s="227">
        <v>0</v>
      </c>
      <c r="D101" s="228">
        <v>0</v>
      </c>
      <c r="E101" s="228">
        <v>0</v>
      </c>
      <c r="F101" s="228">
        <v>0</v>
      </c>
      <c r="G101" s="228">
        <v>0</v>
      </c>
      <c r="H101" s="228">
        <v>0</v>
      </c>
      <c r="I101" s="228">
        <v>0</v>
      </c>
      <c r="J101" s="228">
        <v>0</v>
      </c>
      <c r="K101" s="228">
        <v>0</v>
      </c>
      <c r="L101" s="228">
        <v>0</v>
      </c>
      <c r="M101" s="228">
        <v>0</v>
      </c>
      <c r="N101" s="228">
        <v>0</v>
      </c>
      <c r="O101" s="229">
        <v>0</v>
      </c>
    </row>
    <row r="102" spans="1:15" x14ac:dyDescent="0.2">
      <c r="A102" s="222"/>
      <c r="B102" s="223" t="s">
        <v>89</v>
      </c>
      <c r="C102" s="227">
        <v>0</v>
      </c>
      <c r="D102" s="228">
        <v>0</v>
      </c>
      <c r="E102" s="228">
        <v>0</v>
      </c>
      <c r="F102" s="228">
        <v>0</v>
      </c>
      <c r="G102" s="228">
        <v>0</v>
      </c>
      <c r="H102" s="228">
        <v>0</v>
      </c>
      <c r="I102" s="228">
        <v>0</v>
      </c>
      <c r="J102" s="228">
        <v>0</v>
      </c>
      <c r="K102" s="228">
        <v>0</v>
      </c>
      <c r="L102" s="228">
        <v>0</v>
      </c>
      <c r="M102" s="228">
        <v>0</v>
      </c>
      <c r="N102" s="228">
        <v>0</v>
      </c>
      <c r="O102" s="229">
        <v>0</v>
      </c>
    </row>
    <row r="103" spans="1:15" x14ac:dyDescent="0.2">
      <c r="A103" s="212" t="s">
        <v>81</v>
      </c>
      <c r="B103" s="212" t="s">
        <v>70</v>
      </c>
      <c r="C103" s="219">
        <v>709335.58000000007</v>
      </c>
      <c r="D103" s="220">
        <v>672356</v>
      </c>
      <c r="E103" s="220">
        <v>410137.16000000003</v>
      </c>
      <c r="F103" s="220">
        <v>366434.02</v>
      </c>
      <c r="G103" s="220">
        <v>342901.56</v>
      </c>
      <c r="H103" s="220">
        <v>440393.18000000005</v>
      </c>
      <c r="I103" s="220">
        <v>490819.88</v>
      </c>
      <c r="J103" s="220">
        <v>500905.22000000003</v>
      </c>
      <c r="K103" s="220">
        <v>410137.16000000003</v>
      </c>
      <c r="L103" s="220">
        <v>393328.26</v>
      </c>
      <c r="M103" s="220">
        <v>396690.04000000004</v>
      </c>
      <c r="N103" s="220">
        <v>598396.84000000008</v>
      </c>
      <c r="O103" s="221">
        <v>5731834.9000000004</v>
      </c>
    </row>
    <row r="104" spans="1:15" x14ac:dyDescent="0.2">
      <c r="A104" s="222"/>
      <c r="B104" s="223" t="s">
        <v>25</v>
      </c>
      <c r="C104" s="227">
        <v>-16023.339999999851</v>
      </c>
      <c r="D104" s="228">
        <v>-15188</v>
      </c>
      <c r="E104" s="228">
        <v>-9264.6799999999348</v>
      </c>
      <c r="F104" s="228">
        <v>-8277.4599999999627</v>
      </c>
      <c r="G104" s="228">
        <v>-7745.8800000000047</v>
      </c>
      <c r="H104" s="228">
        <v>-9948.1399999998976</v>
      </c>
      <c r="I104" s="228">
        <v>-11087.239999999991</v>
      </c>
      <c r="J104" s="228">
        <v>-11315.059999999939</v>
      </c>
      <c r="K104" s="228">
        <v>-9264.6799999999348</v>
      </c>
      <c r="L104" s="228">
        <v>-8884.9799999999814</v>
      </c>
      <c r="M104" s="228">
        <v>-8960.9199999999255</v>
      </c>
      <c r="N104" s="228">
        <v>-13517.319999999832</v>
      </c>
      <c r="O104" s="229">
        <v>-129477.69999999925</v>
      </c>
    </row>
    <row r="105" spans="1:15" x14ac:dyDescent="0.2">
      <c r="A105" s="222"/>
      <c r="B105" s="223" t="s">
        <v>26</v>
      </c>
      <c r="C105" s="227">
        <v>-6552.0378650592529</v>
      </c>
      <c r="D105" s="228">
        <v>-6210.4624313357845</v>
      </c>
      <c r="E105" s="228">
        <v>-3788.3820831148287</v>
      </c>
      <c r="F105" s="228">
        <v>-3384.7020250780029</v>
      </c>
      <c r="G105" s="228">
        <v>-3167.33583998125</v>
      </c>
      <c r="H105" s="228">
        <v>-4067.8528925249389</v>
      </c>
      <c r="I105" s="228">
        <v>-4533.6375748751225</v>
      </c>
      <c r="J105" s="228">
        <v>-4626.7945113451597</v>
      </c>
      <c r="K105" s="228">
        <v>-3788.3820831148287</v>
      </c>
      <c r="L105" s="228">
        <v>-3633.1205223314341</v>
      </c>
      <c r="M105" s="228">
        <v>-3664.172834488113</v>
      </c>
      <c r="N105" s="228">
        <v>-5527.3115638888476</v>
      </c>
      <c r="O105" s="229">
        <v>-52944.192227137559</v>
      </c>
    </row>
    <row r="106" spans="1:15" x14ac:dyDescent="0.2">
      <c r="A106" s="222"/>
      <c r="B106" s="223" t="s">
        <v>27</v>
      </c>
      <c r="C106" s="227">
        <v>-22575.377865059105</v>
      </c>
      <c r="D106" s="228">
        <v>-21398.462431335785</v>
      </c>
      <c r="E106" s="228">
        <v>-13053.062083114764</v>
      </c>
      <c r="F106" s="228">
        <v>-11662.162025077965</v>
      </c>
      <c r="G106" s="228">
        <v>-10913.215839981254</v>
      </c>
      <c r="H106" s="228">
        <v>-14015.992892524837</v>
      </c>
      <c r="I106" s="228">
        <v>-15620.877574875114</v>
      </c>
      <c r="J106" s="228">
        <v>-15941.8545113451</v>
      </c>
      <c r="K106" s="228">
        <v>-13053.062083114764</v>
      </c>
      <c r="L106" s="228">
        <v>-12518.100522331415</v>
      </c>
      <c r="M106" s="228">
        <v>-12625.092834488038</v>
      </c>
      <c r="N106" s="228">
        <v>-19044.631563888681</v>
      </c>
      <c r="O106" s="229">
        <v>-182421.89222713682</v>
      </c>
    </row>
    <row r="107" spans="1:15" x14ac:dyDescent="0.2">
      <c r="A107" s="222"/>
      <c r="B107" s="223" t="s">
        <v>49</v>
      </c>
      <c r="C107" s="227">
        <v>725358.91999999993</v>
      </c>
      <c r="D107" s="228">
        <v>687544</v>
      </c>
      <c r="E107" s="228">
        <v>419401.83999999997</v>
      </c>
      <c r="F107" s="228">
        <v>374711.48</v>
      </c>
      <c r="G107" s="228">
        <v>350647.44</v>
      </c>
      <c r="H107" s="228">
        <v>450341.31999999995</v>
      </c>
      <c r="I107" s="228">
        <v>501907.12</v>
      </c>
      <c r="J107" s="228">
        <v>512220.27999999997</v>
      </c>
      <c r="K107" s="228">
        <v>419401.83999999997</v>
      </c>
      <c r="L107" s="228">
        <v>402213.24</v>
      </c>
      <c r="M107" s="228">
        <v>405650.95999999996</v>
      </c>
      <c r="N107" s="228">
        <v>611914.15999999992</v>
      </c>
      <c r="O107" s="229">
        <v>5861312.5999999996</v>
      </c>
    </row>
    <row r="108" spans="1:15" x14ac:dyDescent="0.2">
      <c r="A108" s="222"/>
      <c r="B108" s="223" t="s">
        <v>87</v>
      </c>
      <c r="C108" s="227">
        <v>0</v>
      </c>
      <c r="D108" s="228">
        <v>0</v>
      </c>
      <c r="E108" s="228">
        <v>0</v>
      </c>
      <c r="F108" s="228">
        <v>0</v>
      </c>
      <c r="G108" s="228">
        <v>0</v>
      </c>
      <c r="H108" s="228">
        <v>0</v>
      </c>
      <c r="I108" s="228">
        <v>0</v>
      </c>
      <c r="J108" s="228">
        <v>0</v>
      </c>
      <c r="K108" s="228">
        <v>0</v>
      </c>
      <c r="L108" s="228">
        <v>0</v>
      </c>
      <c r="M108" s="228">
        <v>0</v>
      </c>
      <c r="N108" s="228">
        <v>0</v>
      </c>
      <c r="O108" s="229">
        <v>0</v>
      </c>
    </row>
    <row r="109" spans="1:15" x14ac:dyDescent="0.2">
      <c r="A109" s="222"/>
      <c r="B109" s="223" t="s">
        <v>89</v>
      </c>
      <c r="C109" s="227">
        <v>0</v>
      </c>
      <c r="D109" s="228">
        <v>0</v>
      </c>
      <c r="E109" s="228">
        <v>0</v>
      </c>
      <c r="F109" s="228">
        <v>0</v>
      </c>
      <c r="G109" s="228">
        <v>0</v>
      </c>
      <c r="H109" s="228">
        <v>0</v>
      </c>
      <c r="I109" s="228">
        <v>0</v>
      </c>
      <c r="J109" s="228">
        <v>0</v>
      </c>
      <c r="K109" s="228">
        <v>0</v>
      </c>
      <c r="L109" s="228">
        <v>0</v>
      </c>
      <c r="M109" s="228">
        <v>0</v>
      </c>
      <c r="N109" s="228">
        <v>0</v>
      </c>
      <c r="O109" s="229">
        <v>0</v>
      </c>
    </row>
    <row r="110" spans="1:15" x14ac:dyDescent="0.2">
      <c r="A110" s="212" t="s">
        <v>83</v>
      </c>
      <c r="B110" s="212" t="s">
        <v>70</v>
      </c>
      <c r="C110" s="219">
        <v>158003.66</v>
      </c>
      <c r="D110" s="220">
        <v>191621.46000000002</v>
      </c>
      <c r="E110" s="220">
        <v>114300.52</v>
      </c>
      <c r="F110" s="220">
        <v>90768.060000000012</v>
      </c>
      <c r="G110" s="220">
        <v>134471.20000000001</v>
      </c>
      <c r="H110" s="220">
        <v>154641.88</v>
      </c>
      <c r="I110" s="220">
        <v>184897.90000000002</v>
      </c>
      <c r="J110" s="220">
        <v>184897.90000000002</v>
      </c>
      <c r="K110" s="220">
        <v>147918.32</v>
      </c>
      <c r="L110" s="220">
        <v>114300.52</v>
      </c>
      <c r="M110" s="220">
        <v>117662.3</v>
      </c>
      <c r="N110" s="220">
        <v>131109.42000000001</v>
      </c>
      <c r="O110" s="221">
        <v>1724593.1400000001</v>
      </c>
    </row>
    <row r="111" spans="1:15" x14ac:dyDescent="0.2">
      <c r="A111" s="222"/>
      <c r="B111" s="223" t="s">
        <v>25</v>
      </c>
      <c r="C111" s="227">
        <v>-3569.179999999993</v>
      </c>
      <c r="D111" s="228">
        <v>-4328.5799999999581</v>
      </c>
      <c r="E111" s="228">
        <v>-2581.9599999999919</v>
      </c>
      <c r="F111" s="228">
        <v>-2050.3799999999756</v>
      </c>
      <c r="G111" s="228">
        <v>-3037.5999999999767</v>
      </c>
      <c r="H111" s="228">
        <v>-3493.2399999999907</v>
      </c>
      <c r="I111" s="228">
        <v>-4176.6999999999534</v>
      </c>
      <c r="J111" s="228">
        <v>-4176.6999999999534</v>
      </c>
      <c r="K111" s="228">
        <v>-3341.359999999986</v>
      </c>
      <c r="L111" s="228">
        <v>-2581.9599999999919</v>
      </c>
      <c r="M111" s="228">
        <v>-2657.8999999999942</v>
      </c>
      <c r="N111" s="228">
        <v>-2961.6599999999744</v>
      </c>
      <c r="O111" s="229">
        <v>-38957.219999999739</v>
      </c>
    </row>
    <row r="112" spans="1:15" x14ac:dyDescent="0.2">
      <c r="A112" s="222"/>
      <c r="B112" s="223" t="s">
        <v>26</v>
      </c>
      <c r="C112" s="227">
        <v>-1459.4586713639094</v>
      </c>
      <c r="D112" s="228">
        <v>-1769.9817929306985</v>
      </c>
      <c r="E112" s="228">
        <v>-1055.7786133270833</v>
      </c>
      <c r="F112" s="228">
        <v>-838.41242823033099</v>
      </c>
      <c r="G112" s="228">
        <v>-1242.0924862671568</v>
      </c>
      <c r="H112" s="228">
        <v>-1428.4063592072305</v>
      </c>
      <c r="I112" s="228">
        <v>-1707.8771686173409</v>
      </c>
      <c r="J112" s="228">
        <v>-1707.8771686173409</v>
      </c>
      <c r="K112" s="228">
        <v>-1366.3017348938727</v>
      </c>
      <c r="L112" s="228">
        <v>-1055.7786133270833</v>
      </c>
      <c r="M112" s="228">
        <v>-1086.8309254837623</v>
      </c>
      <c r="N112" s="228">
        <v>-1211.0401741104779</v>
      </c>
      <c r="O112" s="229">
        <v>-15929.836136376287</v>
      </c>
    </row>
    <row r="113" spans="1:15" x14ac:dyDescent="0.2">
      <c r="A113" s="222"/>
      <c r="B113" s="223" t="s">
        <v>27</v>
      </c>
      <c r="C113" s="227">
        <v>-5028.6386713639022</v>
      </c>
      <c r="D113" s="228">
        <v>-6098.5617929306563</v>
      </c>
      <c r="E113" s="228">
        <v>-3637.7386133270752</v>
      </c>
      <c r="F113" s="228">
        <v>-2888.7924282303065</v>
      </c>
      <c r="G113" s="228">
        <v>-4279.6924862671331</v>
      </c>
      <c r="H113" s="228">
        <v>-4921.6463592072214</v>
      </c>
      <c r="I113" s="228">
        <v>-5884.5771686172939</v>
      </c>
      <c r="J113" s="228">
        <v>-5884.5771686172939</v>
      </c>
      <c r="K113" s="228">
        <v>-4707.6617348938589</v>
      </c>
      <c r="L113" s="228">
        <v>-3637.7386133270752</v>
      </c>
      <c r="M113" s="228">
        <v>-3744.7309254837564</v>
      </c>
      <c r="N113" s="228">
        <v>-4172.7001741104523</v>
      </c>
      <c r="O113" s="229">
        <v>-54887.056136376028</v>
      </c>
    </row>
    <row r="114" spans="1:15" x14ac:dyDescent="0.2">
      <c r="A114" s="222"/>
      <c r="B114" s="223" t="s">
        <v>49</v>
      </c>
      <c r="C114" s="227">
        <v>161572.84</v>
      </c>
      <c r="D114" s="228">
        <v>195950.03999999998</v>
      </c>
      <c r="E114" s="228">
        <v>116882.48</v>
      </c>
      <c r="F114" s="228">
        <v>92818.439999999988</v>
      </c>
      <c r="G114" s="228">
        <v>137508.79999999999</v>
      </c>
      <c r="H114" s="228">
        <v>158135.12</v>
      </c>
      <c r="I114" s="228">
        <v>189074.59999999998</v>
      </c>
      <c r="J114" s="228">
        <v>189074.59999999998</v>
      </c>
      <c r="K114" s="228">
        <v>151259.68</v>
      </c>
      <c r="L114" s="228">
        <v>116882.48</v>
      </c>
      <c r="M114" s="228">
        <v>120320.2</v>
      </c>
      <c r="N114" s="228">
        <v>134071.07999999999</v>
      </c>
      <c r="O114" s="229">
        <v>1763550.3599999999</v>
      </c>
    </row>
    <row r="115" spans="1:15" x14ac:dyDescent="0.2">
      <c r="A115" s="222"/>
      <c r="B115" s="223" t="s">
        <v>87</v>
      </c>
      <c r="C115" s="227">
        <v>0</v>
      </c>
      <c r="D115" s="228">
        <v>0</v>
      </c>
      <c r="E115" s="228">
        <v>0</v>
      </c>
      <c r="F115" s="228">
        <v>0</v>
      </c>
      <c r="G115" s="228">
        <v>0</v>
      </c>
      <c r="H115" s="228">
        <v>0</v>
      </c>
      <c r="I115" s="228">
        <v>0</v>
      </c>
      <c r="J115" s="228">
        <v>0</v>
      </c>
      <c r="K115" s="228">
        <v>0</v>
      </c>
      <c r="L115" s="228">
        <v>0</v>
      </c>
      <c r="M115" s="228">
        <v>0</v>
      </c>
      <c r="N115" s="228">
        <v>0</v>
      </c>
      <c r="O115" s="229">
        <v>0</v>
      </c>
    </row>
    <row r="116" spans="1:15" x14ac:dyDescent="0.2">
      <c r="A116" s="222"/>
      <c r="B116" s="223" t="s">
        <v>89</v>
      </c>
      <c r="C116" s="227">
        <v>0</v>
      </c>
      <c r="D116" s="228">
        <v>0</v>
      </c>
      <c r="E116" s="228">
        <v>0</v>
      </c>
      <c r="F116" s="228">
        <v>0</v>
      </c>
      <c r="G116" s="228">
        <v>0</v>
      </c>
      <c r="H116" s="228">
        <v>0</v>
      </c>
      <c r="I116" s="228">
        <v>0</v>
      </c>
      <c r="J116" s="228">
        <v>0</v>
      </c>
      <c r="K116" s="228">
        <v>0</v>
      </c>
      <c r="L116" s="228">
        <v>0</v>
      </c>
      <c r="M116" s="228">
        <v>0</v>
      </c>
      <c r="N116" s="228">
        <v>0</v>
      </c>
      <c r="O116" s="229">
        <v>0</v>
      </c>
    </row>
    <row r="117" spans="1:15" x14ac:dyDescent="0.2">
      <c r="A117" s="212" t="s">
        <v>71</v>
      </c>
      <c r="B117" s="213"/>
      <c r="C117" s="219">
        <v>31667967.600000005</v>
      </c>
      <c r="D117" s="220">
        <v>33046297.400000002</v>
      </c>
      <c r="E117" s="220">
        <v>23545907.119999994</v>
      </c>
      <c r="F117" s="220">
        <v>23475309.739999998</v>
      </c>
      <c r="G117" s="220">
        <v>28786922.140000001</v>
      </c>
      <c r="H117" s="220">
        <v>32723566.519999996</v>
      </c>
      <c r="I117" s="220">
        <v>35829851.24000001</v>
      </c>
      <c r="J117" s="220">
        <v>36058452.279999994</v>
      </c>
      <c r="K117" s="220">
        <v>31244383.32</v>
      </c>
      <c r="L117" s="220">
        <v>28430573.460000001</v>
      </c>
      <c r="M117" s="220">
        <v>22782783.060000006</v>
      </c>
      <c r="N117" s="220">
        <v>28329720.059999999</v>
      </c>
      <c r="O117" s="221">
        <v>355921733.93999994</v>
      </c>
    </row>
    <row r="118" spans="1:15" x14ac:dyDescent="0.2">
      <c r="A118" s="212" t="s">
        <v>28</v>
      </c>
      <c r="B118" s="213"/>
      <c r="C118" s="230">
        <v>-715354.79999999865</v>
      </c>
      <c r="D118" s="231">
        <v>-746490.19999999623</v>
      </c>
      <c r="E118" s="231">
        <v>-531883.7599999985</v>
      </c>
      <c r="F118" s="231">
        <v>-530289.01999999839</v>
      </c>
      <c r="G118" s="231">
        <v>-650274.21999999764</v>
      </c>
      <c r="H118" s="231">
        <v>-739199.95999999624</v>
      </c>
      <c r="I118" s="231">
        <v>-809368.5199999942</v>
      </c>
      <c r="J118" s="231">
        <v>-814532.43999999517</v>
      </c>
      <c r="K118" s="231">
        <v>-705786.35999999393</v>
      </c>
      <c r="L118" s="231">
        <v>-642224.57999999891</v>
      </c>
      <c r="M118" s="231">
        <v>-514645.37999999709</v>
      </c>
      <c r="N118" s="231">
        <v>-639946.37999999896</v>
      </c>
      <c r="O118" s="232">
        <v>-8039995.6199999638</v>
      </c>
    </row>
    <row r="119" spans="1:15" x14ac:dyDescent="0.2">
      <c r="A119" s="212" t="s">
        <v>29</v>
      </c>
      <c r="B119" s="213"/>
      <c r="C119" s="230">
        <v>-292512.78051591542</v>
      </c>
      <c r="D119" s="231">
        <v>-305244.22850015375</v>
      </c>
      <c r="E119" s="231">
        <v>-217490.3943453792</v>
      </c>
      <c r="F119" s="231">
        <v>-216838.29579008895</v>
      </c>
      <c r="G119" s="231">
        <v>-265900.94899764162</v>
      </c>
      <c r="H119" s="231">
        <v>-302263.20653311262</v>
      </c>
      <c r="I119" s="231">
        <v>-330955.54296588397</v>
      </c>
      <c r="J119" s="231">
        <v>-333067.10019253806</v>
      </c>
      <c r="K119" s="231">
        <v>-288600.18918417388</v>
      </c>
      <c r="L119" s="231">
        <v>-262609.40390903363</v>
      </c>
      <c r="M119" s="231">
        <v>-210441.5194858131</v>
      </c>
      <c r="N119" s="231">
        <v>-261677.83454433325</v>
      </c>
      <c r="O119" s="232">
        <v>-3287601.4449640689</v>
      </c>
    </row>
    <row r="120" spans="1:15" x14ac:dyDescent="0.2">
      <c r="A120" s="212" t="s">
        <v>30</v>
      </c>
      <c r="B120" s="213"/>
      <c r="C120" s="230">
        <v>-1007867.580515914</v>
      </c>
      <c r="D120" s="231">
        <v>-1051734.4285001501</v>
      </c>
      <c r="E120" s="231">
        <v>-749374.15434537758</v>
      </c>
      <c r="F120" s="231">
        <v>-747127.31579008745</v>
      </c>
      <c r="G120" s="231">
        <v>-916175.16899763944</v>
      </c>
      <c r="H120" s="231">
        <v>-1041463.1665331087</v>
      </c>
      <c r="I120" s="231">
        <v>-1140324.0629658783</v>
      </c>
      <c r="J120" s="231">
        <v>-1147599.5401925335</v>
      </c>
      <c r="K120" s="231">
        <v>-994386.54918416764</v>
      </c>
      <c r="L120" s="231">
        <v>-904833.98390903277</v>
      </c>
      <c r="M120" s="231">
        <v>-725086.89948581008</v>
      </c>
      <c r="N120" s="231">
        <v>-901624.21454433235</v>
      </c>
      <c r="O120" s="232">
        <v>-11327597.064964032</v>
      </c>
    </row>
    <row r="121" spans="1:15" x14ac:dyDescent="0.2">
      <c r="A121" s="212" t="s">
        <v>61</v>
      </c>
      <c r="B121" s="213"/>
      <c r="C121" s="219">
        <v>32383322.399999995</v>
      </c>
      <c r="D121" s="220">
        <v>33792787.600000001</v>
      </c>
      <c r="E121" s="220">
        <v>24077790.880000006</v>
      </c>
      <c r="F121" s="220">
        <v>24005598.760000002</v>
      </c>
      <c r="G121" s="220">
        <v>29437196.359999999</v>
      </c>
      <c r="H121" s="220">
        <v>33462766.480000004</v>
      </c>
      <c r="I121" s="220">
        <v>36639219.75999999</v>
      </c>
      <c r="J121" s="220">
        <v>36872984.720000006</v>
      </c>
      <c r="K121" s="220">
        <v>31950169.68</v>
      </c>
      <c r="L121" s="220">
        <v>29072798.039999999</v>
      </c>
      <c r="M121" s="220">
        <v>23297428.439999994</v>
      </c>
      <c r="N121" s="220">
        <v>28969666.440000001</v>
      </c>
      <c r="O121" s="221">
        <v>363961729.56000006</v>
      </c>
    </row>
    <row r="122" spans="1:15" x14ac:dyDescent="0.2">
      <c r="A122" s="212" t="s">
        <v>88</v>
      </c>
      <c r="B122" s="213"/>
      <c r="C122" s="219">
        <v>0</v>
      </c>
      <c r="D122" s="220">
        <v>0</v>
      </c>
      <c r="E122" s="220">
        <v>0</v>
      </c>
      <c r="F122" s="220">
        <v>0</v>
      </c>
      <c r="G122" s="220">
        <v>0</v>
      </c>
      <c r="H122" s="220">
        <v>0</v>
      </c>
      <c r="I122" s="220">
        <v>0</v>
      </c>
      <c r="J122" s="220">
        <v>0</v>
      </c>
      <c r="K122" s="220">
        <v>0</v>
      </c>
      <c r="L122" s="220">
        <v>0</v>
      </c>
      <c r="M122" s="220">
        <v>0</v>
      </c>
      <c r="N122" s="220">
        <v>0</v>
      </c>
      <c r="O122" s="221">
        <v>0</v>
      </c>
    </row>
    <row r="123" spans="1:15" x14ac:dyDescent="0.2">
      <c r="A123" s="233" t="s">
        <v>90</v>
      </c>
      <c r="B123" s="234"/>
      <c r="C123" s="235">
        <v>0</v>
      </c>
      <c r="D123" s="236">
        <v>0</v>
      </c>
      <c r="E123" s="236">
        <v>0</v>
      </c>
      <c r="F123" s="236">
        <v>0</v>
      </c>
      <c r="G123" s="236">
        <v>0</v>
      </c>
      <c r="H123" s="236">
        <v>0</v>
      </c>
      <c r="I123" s="236">
        <v>0</v>
      </c>
      <c r="J123" s="236">
        <v>0</v>
      </c>
      <c r="K123" s="236">
        <v>0</v>
      </c>
      <c r="L123" s="236">
        <v>0</v>
      </c>
      <c r="M123" s="236">
        <v>0</v>
      </c>
      <c r="N123" s="236">
        <v>0</v>
      </c>
      <c r="O123" s="237">
        <v>0</v>
      </c>
    </row>
  </sheetData>
  <phoneticPr fontId="6" type="noConversion"/>
  <pageMargins left="0.5" right="0.5" top="0.73" bottom="0.98" header="0.5" footer="0.5"/>
  <pageSetup scale="52" fitToHeight="0" orientation="landscape" horizontalDpi="1200" verticalDpi="12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20"/>
  <sheetViews>
    <sheetView showGridLines="0" topLeftCell="B1" zoomScale="80" zoomScaleNormal="80" zoomScaleSheetLayoutView="100" workbookViewId="0">
      <selection activeCell="V16" sqref="V16"/>
    </sheetView>
  </sheetViews>
  <sheetFormatPr defaultColWidth="8.7109375" defaultRowHeight="12.75" x14ac:dyDescent="0.2"/>
  <cols>
    <col min="1" max="1" width="6" customWidth="1"/>
    <col min="2" max="2" width="10.28515625" bestFit="1" customWidth="1"/>
    <col min="3" max="3" width="10.7109375" bestFit="1" customWidth="1"/>
    <col min="4" max="4" width="11" style="85" customWidth="1"/>
    <col min="5" max="5" width="24.28515625" customWidth="1"/>
    <col min="6" max="6" width="7.7109375" style="85" customWidth="1"/>
    <col min="7" max="7" width="8.5703125" style="85" bestFit="1" customWidth="1"/>
    <col min="8" max="8" width="11.140625" style="85" bestFit="1" customWidth="1"/>
    <col min="9" max="9" width="11.28515625" style="45" customWidth="1"/>
    <col min="10" max="10" width="15.85546875" style="85" bestFit="1" customWidth="1"/>
    <col min="11" max="11" width="16.140625" style="91" customWidth="1"/>
    <col min="12" max="12" width="14.7109375" style="85" customWidth="1"/>
    <col min="13" max="13" width="14.42578125" style="85" bestFit="1" customWidth="1"/>
    <col min="14" max="15" width="13.42578125" style="85" customWidth="1"/>
    <col min="16" max="16" width="14.85546875" style="85" bestFit="1" customWidth="1"/>
    <col min="17" max="17" width="13.42578125" style="85" customWidth="1"/>
    <col min="18" max="18" width="15.5703125" style="180" customWidth="1"/>
  </cols>
  <sheetData>
    <row r="1" spans="2:18" ht="22.5" x14ac:dyDescent="0.2">
      <c r="B1" s="8" t="s">
        <v>95</v>
      </c>
      <c r="C1" s="76"/>
      <c r="D1" s="77"/>
      <c r="E1" s="76"/>
      <c r="F1" s="78" t="s">
        <v>12</v>
      </c>
      <c r="G1" s="79"/>
      <c r="H1" s="80"/>
      <c r="I1" s="81"/>
      <c r="J1" s="184" t="str">
        <f>"True-Up ARR
(CY"&amp;R1&amp;")"</f>
        <v>True-Up ARR
(CY2025)</v>
      </c>
      <c r="K1" s="184" t="str">
        <f>"Projected ARR
(Jan'"&amp;RIGHT(R$1,2)&amp;" - Dec'"&amp;RIGHT(R$1,2)&amp;")"</f>
        <v>Projected ARR
(Jan'25 - Dec'25)</v>
      </c>
      <c r="L1" s="82" t="s">
        <v>45</v>
      </c>
      <c r="M1" s="83"/>
      <c r="N1"/>
      <c r="O1"/>
      <c r="P1"/>
      <c r="Q1"/>
      <c r="R1" s="211">
        <v>2025</v>
      </c>
    </row>
    <row r="2" spans="2:18" x14ac:dyDescent="0.2">
      <c r="B2" s="8" t="s">
        <v>52</v>
      </c>
      <c r="C2" s="76"/>
      <c r="D2" s="77"/>
      <c r="E2" s="76"/>
      <c r="F2" s="84">
        <v>9</v>
      </c>
      <c r="G2" s="238"/>
      <c r="H2" s="238"/>
      <c r="I2" s="86" t="s">
        <v>6</v>
      </c>
      <c r="J2" s="87">
        <v>355921264.30377412</v>
      </c>
      <c r="K2" s="87">
        <v>356013433.02125031</v>
      </c>
      <c r="L2" s="187"/>
      <c r="M2" s="89"/>
      <c r="N2"/>
      <c r="O2"/>
      <c r="P2"/>
      <c r="Q2"/>
      <c r="R2" s="95"/>
    </row>
    <row r="3" spans="2:18" x14ac:dyDescent="0.2">
      <c r="B3" s="8" t="str">
        <f>"for CY"&amp;R1&amp;" SPP Network Transmission Service"</f>
        <v>for CY2025 SPP Network Transmission Service</v>
      </c>
      <c r="C3" s="76"/>
      <c r="D3" s="77"/>
      <c r="E3" s="76"/>
      <c r="F3" s="84"/>
      <c r="G3" s="238"/>
      <c r="H3" s="238"/>
      <c r="I3" s="86" t="s">
        <v>10</v>
      </c>
      <c r="J3" s="90">
        <v>3361.78</v>
      </c>
      <c r="K3" s="90">
        <v>3437.72</v>
      </c>
      <c r="L3" s="107" t="str">
        <f>"Inv. Jan-Dec'"&amp;RIGHT(R1,2)</f>
        <v>Inv. Jan-Dec'25</v>
      </c>
      <c r="M3" s="89"/>
      <c r="N3"/>
      <c r="O3"/>
      <c r="P3"/>
      <c r="Q3"/>
      <c r="R3" s="95"/>
    </row>
    <row r="4" spans="2:18" x14ac:dyDescent="0.2">
      <c r="B4" s="7"/>
      <c r="C4" s="76"/>
      <c r="D4" s="77"/>
      <c r="E4" s="76"/>
      <c r="F4" s="84"/>
      <c r="M4" s="92"/>
      <c r="R4" s="95"/>
    </row>
    <row r="5" spans="2:18" x14ac:dyDescent="0.2">
      <c r="B5" s="7"/>
      <c r="C5" s="76"/>
      <c r="D5" s="77"/>
      <c r="E5" s="76"/>
      <c r="F5" s="84"/>
      <c r="I5" s="86"/>
      <c r="K5" s="87">
        <v>0</v>
      </c>
      <c r="L5" s="88"/>
      <c r="M5" s="93"/>
      <c r="N5" s="94"/>
      <c r="O5" s="94"/>
      <c r="P5" s="94"/>
      <c r="Q5" s="94"/>
      <c r="R5" s="95"/>
    </row>
    <row r="6" spans="2:18" x14ac:dyDescent="0.2">
      <c r="B6" s="8" t="s">
        <v>23</v>
      </c>
      <c r="D6" s="77"/>
      <c r="E6" s="76"/>
      <c r="F6" s="96"/>
      <c r="G6" s="14"/>
      <c r="H6" s="97"/>
      <c r="I6" s="98"/>
      <c r="J6" s="99"/>
      <c r="K6" s="90">
        <v>0</v>
      </c>
      <c r="L6" s="107"/>
      <c r="M6" s="93"/>
      <c r="N6" s="94"/>
      <c r="O6" s="94"/>
      <c r="P6" s="94"/>
      <c r="Q6" s="94"/>
      <c r="R6" s="95"/>
    </row>
    <row r="7" spans="2:18" x14ac:dyDescent="0.2">
      <c r="B7" s="7" t="s">
        <v>77</v>
      </c>
      <c r="D7" s="77"/>
      <c r="E7" s="76"/>
      <c r="F7" s="84"/>
      <c r="G7" s="239"/>
      <c r="H7" s="238"/>
      <c r="I7" s="86"/>
      <c r="J7" s="100"/>
      <c r="K7" s="88"/>
      <c r="L7" s="88"/>
      <c r="M7" s="101"/>
      <c r="N7" s="102"/>
      <c r="O7" s="102"/>
      <c r="P7" s="102"/>
      <c r="Q7" s="102"/>
      <c r="R7" s="95"/>
    </row>
    <row r="8" spans="2:18" x14ac:dyDescent="0.2">
      <c r="B8" s="8"/>
      <c r="C8" s="76"/>
      <c r="D8" s="77"/>
      <c r="E8" s="76"/>
      <c r="F8" s="84"/>
      <c r="G8" s="238"/>
      <c r="H8" s="238"/>
      <c r="I8" s="86"/>
      <c r="J8" s="103"/>
      <c r="K8" s="88"/>
      <c r="L8" s="104"/>
      <c r="M8" s="89"/>
      <c r="N8"/>
      <c r="O8"/>
      <c r="P8"/>
      <c r="Q8"/>
      <c r="R8" s="95"/>
    </row>
    <row r="9" spans="2:18" x14ac:dyDescent="0.2">
      <c r="B9" s="105"/>
      <c r="C9" s="76"/>
      <c r="D9" s="77"/>
      <c r="E9" s="76"/>
      <c r="F9" s="84"/>
      <c r="I9" s="106"/>
      <c r="L9" s="107"/>
      <c r="M9" s="89"/>
      <c r="N9"/>
      <c r="O9"/>
      <c r="P9"/>
      <c r="Q9"/>
      <c r="R9" s="95"/>
    </row>
    <row r="10" spans="2:18" ht="13.5" thickBot="1" x14ac:dyDescent="0.25">
      <c r="B10" s="7"/>
      <c r="D10"/>
      <c r="E10" s="108"/>
      <c r="F10" s="109"/>
      <c r="G10" s="110"/>
      <c r="H10" s="111"/>
      <c r="I10" s="112"/>
      <c r="J10" s="113"/>
      <c r="K10" s="113"/>
      <c r="L10" s="114"/>
      <c r="M10" s="115"/>
      <c r="R10" s="116"/>
    </row>
    <row r="11" spans="2:18" x14ac:dyDescent="0.2">
      <c r="B11" s="117"/>
      <c r="E11" s="108"/>
      <c r="L11" s="118"/>
      <c r="M11"/>
      <c r="N11"/>
      <c r="O11"/>
      <c r="P11"/>
      <c r="Q11"/>
      <c r="R11" s="95"/>
    </row>
    <row r="12" spans="2:18" x14ac:dyDescent="0.2">
      <c r="E12" s="108"/>
      <c r="L12" s="118"/>
      <c r="R12" s="119" t="s">
        <v>60</v>
      </c>
    </row>
    <row r="13" spans="2:18" x14ac:dyDescent="0.2">
      <c r="E13" s="108"/>
      <c r="F13" s="120"/>
      <c r="G13" s="121"/>
      <c r="H13" s="121"/>
      <c r="I13" s="122" t="s">
        <v>58</v>
      </c>
      <c r="J13" s="123">
        <f t="shared" ref="J13:R13" si="0">SUM(J56:J211)</f>
        <v>94476103.339999989</v>
      </c>
      <c r="K13" s="123">
        <f t="shared" si="0"/>
        <v>96610245.160000011</v>
      </c>
      <c r="L13" s="124">
        <f t="shared" si="0"/>
        <v>-2134141.8199999882</v>
      </c>
      <c r="M13" s="125">
        <f t="shared" si="0"/>
        <v>-152816.60793967391</v>
      </c>
      <c r="N13" s="123">
        <f t="shared" si="0"/>
        <v>-2286958.4279396613</v>
      </c>
      <c r="O13" s="123">
        <f t="shared" si="0"/>
        <v>0</v>
      </c>
      <c r="P13" s="123">
        <f t="shared" si="0"/>
        <v>0</v>
      </c>
      <c r="Q13" s="123">
        <f t="shared" si="0"/>
        <v>0</v>
      </c>
      <c r="R13" s="124">
        <f t="shared" si="0"/>
        <v>-2286958.4279396613</v>
      </c>
    </row>
    <row r="14" spans="2:18" x14ac:dyDescent="0.2">
      <c r="E14" s="108"/>
      <c r="F14" s="126"/>
      <c r="G14" s="126"/>
      <c r="H14" s="126"/>
      <c r="I14" s="127" t="s">
        <v>59</v>
      </c>
      <c r="J14" s="123">
        <f>SUM(J20:J211)</f>
        <v>355921733.9399997</v>
      </c>
      <c r="K14" s="123">
        <f>SUM(K20:K211)</f>
        <v>363961729.5600003</v>
      </c>
      <c r="L14" s="124">
        <f>SUM(L20:L211)</f>
        <v>-8039995.6199999647</v>
      </c>
      <c r="M14" s="181">
        <v>-575709.09626719914</v>
      </c>
      <c r="N14" s="123">
        <f>SUM(N20:N211)</f>
        <v>-8615704.7162671667</v>
      </c>
      <c r="O14" s="123">
        <f>SUM(O20:O211)</f>
        <v>0</v>
      </c>
      <c r="P14" s="123">
        <f>SUM(P20:P211)</f>
        <v>0</v>
      </c>
      <c r="Q14" s="123">
        <f>SUM(Q20:Q211)</f>
        <v>0</v>
      </c>
      <c r="R14" s="124">
        <f>SUM(R20:R211)</f>
        <v>-8615704.7162671667</v>
      </c>
    </row>
    <row r="15" spans="2:18" x14ac:dyDescent="0.2">
      <c r="B15" s="128" t="s">
        <v>82</v>
      </c>
      <c r="E15" s="108"/>
      <c r="J15" s="45"/>
      <c r="L15" s="118"/>
      <c r="M15" s="129"/>
      <c r="N15" s="129"/>
      <c r="O15" s="129"/>
      <c r="P15" s="129"/>
      <c r="Q15" s="129"/>
      <c r="R15" s="130" t="s">
        <v>20</v>
      </c>
    </row>
    <row r="16" spans="2:18" x14ac:dyDescent="0.2">
      <c r="B16" s="131" t="str">
        <f>"** Actual Trued-Up CY"&amp;R1&amp;" Charge reflects "&amp;R1&amp;" True-UP Rate x MW"</f>
        <v>** Actual Trued-Up CY2025 Charge reflects 2025 True-UP Rate x MW</v>
      </c>
      <c r="E16" s="108"/>
      <c r="G16" s="3"/>
      <c r="J16" s="132"/>
      <c r="L16" s="133" t="s">
        <v>11</v>
      </c>
      <c r="M16" s="129"/>
      <c r="N16" s="129"/>
      <c r="O16" s="129"/>
      <c r="P16" s="129"/>
      <c r="Q16" s="129"/>
      <c r="R16" s="134"/>
    </row>
    <row r="17" spans="1:18" x14ac:dyDescent="0.2">
      <c r="B17" s="135" t="s">
        <v>62</v>
      </c>
      <c r="E17" s="108"/>
      <c r="I17" s="136"/>
      <c r="J17" s="137"/>
      <c r="K17" s="136"/>
      <c r="L17" s="136"/>
      <c r="M17" s="136"/>
      <c r="N17" s="136"/>
      <c r="O17" s="136"/>
      <c r="P17" s="136"/>
      <c r="Q17" s="136"/>
      <c r="R17" s="138"/>
    </row>
    <row r="18" spans="1:18" ht="3.6" customHeight="1" x14ac:dyDescent="0.2">
      <c r="I18" s="139"/>
      <c r="J18" s="137"/>
      <c r="K18" s="139"/>
      <c r="L18" s="139"/>
      <c r="M18" s="140"/>
      <c r="N18" s="140"/>
      <c r="O18" s="140"/>
      <c r="P18" s="140"/>
      <c r="Q18" s="140"/>
      <c r="R18" s="141"/>
    </row>
    <row r="19" spans="1:18" ht="38.25" customHeight="1" x14ac:dyDescent="0.2">
      <c r="B19" s="142" t="s">
        <v>53</v>
      </c>
      <c r="C19" s="188" t="s">
        <v>4</v>
      </c>
      <c r="D19" s="188" t="s">
        <v>5</v>
      </c>
      <c r="E19" s="185" t="s">
        <v>0</v>
      </c>
      <c r="F19" s="186" t="s">
        <v>12</v>
      </c>
      <c r="G19" s="189" t="s">
        <v>1</v>
      </c>
      <c r="H19" s="143" t="s">
        <v>48</v>
      </c>
      <c r="I19" s="143" t="s">
        <v>46</v>
      </c>
      <c r="J19" s="144" t="str">
        <f>"True-Up Charge"</f>
        <v>True-Up Charge</v>
      </c>
      <c r="K19" s="144" t="s">
        <v>47</v>
      </c>
      <c r="L19" s="145" t="s">
        <v>3</v>
      </c>
      <c r="M19" s="146" t="s">
        <v>7</v>
      </c>
      <c r="N19" s="147" t="s">
        <v>101</v>
      </c>
      <c r="O19" s="147" t="s">
        <v>84</v>
      </c>
      <c r="P19" s="147" t="s">
        <v>85</v>
      </c>
      <c r="Q19" s="147" t="s">
        <v>86</v>
      </c>
      <c r="R19" s="148" t="s">
        <v>2</v>
      </c>
    </row>
    <row r="20" spans="1:18" ht="12.75" customHeight="1" x14ac:dyDescent="0.2">
      <c r="A20" s="85">
        <v>1</v>
      </c>
      <c r="B20" s="149">
        <f>DATE($R$1,A20,1)</f>
        <v>45658</v>
      </c>
      <c r="C20" s="150">
        <v>45693</v>
      </c>
      <c r="D20" s="150">
        <v>45712</v>
      </c>
      <c r="E20" s="151" t="s">
        <v>21</v>
      </c>
      <c r="F20" s="85">
        <v>9</v>
      </c>
      <c r="G20" s="152">
        <v>2941</v>
      </c>
      <c r="H20" s="153">
        <f>+$K$3</f>
        <v>3437.72</v>
      </c>
      <c r="I20" s="183">
        <f t="shared" ref="I20:I63" si="1">$J$3</f>
        <v>3361.78</v>
      </c>
      <c r="J20" s="103">
        <f t="shared" ref="J20:J108" si="2">+$G20*I20</f>
        <v>9886994.9800000004</v>
      </c>
      <c r="K20" s="154">
        <f>+$G20*H20</f>
        <v>10110334.52</v>
      </c>
      <c r="L20" s="155">
        <f t="shared" ref="L20:L34" si="3">+J20-K20</f>
        <v>-223339.53999999911</v>
      </c>
      <c r="M20" s="103">
        <f>G20/$G$212*$M$14</f>
        <v>-15992.372485164611</v>
      </c>
      <c r="N20" s="156">
        <f>SUM(L20:M20)</f>
        <v>-239331.91248516372</v>
      </c>
      <c r="O20" s="103">
        <v>0</v>
      </c>
      <c r="P20" s="103">
        <v>0</v>
      </c>
      <c r="Q20" s="103">
        <v>0</v>
      </c>
      <c r="R20" s="156">
        <f>+N20-Q20</f>
        <v>-239331.91248516372</v>
      </c>
    </row>
    <row r="21" spans="1:18" x14ac:dyDescent="0.2">
      <c r="A21" s="85">
        <v>2</v>
      </c>
      <c r="B21" s="149">
        <f t="shared" ref="B21:B108" si="4">DATE($R$1,A21,1)</f>
        <v>45689</v>
      </c>
      <c r="C21" s="150">
        <v>45721</v>
      </c>
      <c r="D21" s="150">
        <v>45740</v>
      </c>
      <c r="E21" s="157" t="s">
        <v>21</v>
      </c>
      <c r="F21" s="85">
        <v>9</v>
      </c>
      <c r="G21" s="152">
        <v>3221</v>
      </c>
      <c r="H21" s="153">
        <f t="shared" ref="H21:H84" si="5">+$K$3</f>
        <v>3437.72</v>
      </c>
      <c r="I21" s="153">
        <f t="shared" si="1"/>
        <v>3361.78</v>
      </c>
      <c r="J21" s="103">
        <f t="shared" si="2"/>
        <v>10828293.380000001</v>
      </c>
      <c r="K21" s="154">
        <f t="shared" ref="K21:K33" si="6">+$G21*H21</f>
        <v>11072896.119999999</v>
      </c>
      <c r="L21" s="155">
        <f t="shared" si="3"/>
        <v>-244602.73999999836</v>
      </c>
      <c r="M21" s="103">
        <f t="shared" ref="M21:M84" si="7">G21/$G$212*$M$14</f>
        <v>-17514.937699665152</v>
      </c>
      <c r="N21" s="156">
        <f t="shared" ref="N21:N84" si="8">SUM(L21:M21)</f>
        <v>-262117.6776996635</v>
      </c>
      <c r="O21" s="103">
        <v>0</v>
      </c>
      <c r="P21" s="103">
        <v>0</v>
      </c>
      <c r="Q21" s="103">
        <v>0</v>
      </c>
      <c r="R21" s="156">
        <f t="shared" ref="R21:R84" si="9">+N21-Q21</f>
        <v>-262117.6776996635</v>
      </c>
    </row>
    <row r="22" spans="1:18" x14ac:dyDescent="0.2">
      <c r="A22" s="85">
        <v>3</v>
      </c>
      <c r="B22" s="149">
        <f t="shared" si="4"/>
        <v>45717</v>
      </c>
      <c r="C22" s="150">
        <v>45750</v>
      </c>
      <c r="D22" s="150">
        <v>45771</v>
      </c>
      <c r="E22" s="157" t="s">
        <v>21</v>
      </c>
      <c r="F22" s="85">
        <v>9</v>
      </c>
      <c r="G22" s="152">
        <v>2419</v>
      </c>
      <c r="H22" s="153">
        <f t="shared" si="5"/>
        <v>3437.72</v>
      </c>
      <c r="I22" s="153">
        <f t="shared" si="1"/>
        <v>3361.78</v>
      </c>
      <c r="J22" s="103">
        <f t="shared" si="2"/>
        <v>8132145.8200000003</v>
      </c>
      <c r="K22" s="154">
        <f t="shared" si="6"/>
        <v>8315844.6799999997</v>
      </c>
      <c r="L22" s="155">
        <f t="shared" si="3"/>
        <v>-183698.8599999994</v>
      </c>
      <c r="M22" s="103">
        <f t="shared" si="7"/>
        <v>-13153.875906702888</v>
      </c>
      <c r="N22" s="156">
        <f t="shared" si="8"/>
        <v>-196852.73590670229</v>
      </c>
      <c r="O22" s="103">
        <v>0</v>
      </c>
      <c r="P22" s="103">
        <v>0</v>
      </c>
      <c r="Q22" s="103">
        <v>0</v>
      </c>
      <c r="R22" s="156">
        <f t="shared" si="9"/>
        <v>-196852.73590670229</v>
      </c>
    </row>
    <row r="23" spans="1:18" x14ac:dyDescent="0.2">
      <c r="A23" s="85">
        <v>4</v>
      </c>
      <c r="B23" s="149">
        <f t="shared" si="4"/>
        <v>45748</v>
      </c>
      <c r="C23" s="150">
        <v>45782</v>
      </c>
      <c r="D23" s="150">
        <v>45803</v>
      </c>
      <c r="E23" s="157" t="s">
        <v>21</v>
      </c>
      <c r="F23" s="85">
        <v>9</v>
      </c>
      <c r="G23" s="152">
        <v>2717</v>
      </c>
      <c r="H23" s="153">
        <f t="shared" si="5"/>
        <v>3437.72</v>
      </c>
      <c r="I23" s="153">
        <f t="shared" si="1"/>
        <v>3361.78</v>
      </c>
      <c r="J23" s="103">
        <f t="shared" si="2"/>
        <v>9133956.2599999998</v>
      </c>
      <c r="K23" s="154">
        <f t="shared" si="6"/>
        <v>9340285.2400000002</v>
      </c>
      <c r="L23" s="155">
        <f t="shared" si="3"/>
        <v>-206328.98000000045</v>
      </c>
      <c r="M23" s="103">
        <f t="shared" si="7"/>
        <v>-14774.320313564176</v>
      </c>
      <c r="N23" s="156">
        <f t="shared" si="8"/>
        <v>-221103.30031356463</v>
      </c>
      <c r="O23" s="103">
        <v>0</v>
      </c>
      <c r="P23" s="103">
        <v>0</v>
      </c>
      <c r="Q23" s="103">
        <v>0</v>
      </c>
      <c r="R23" s="156">
        <f t="shared" si="9"/>
        <v>-221103.30031356463</v>
      </c>
    </row>
    <row r="24" spans="1:18" ht="12" customHeight="1" x14ac:dyDescent="0.2">
      <c r="A24" s="85">
        <v>5</v>
      </c>
      <c r="B24" s="149">
        <f t="shared" si="4"/>
        <v>45778</v>
      </c>
      <c r="C24" s="150">
        <v>45812</v>
      </c>
      <c r="D24" s="150">
        <v>45832</v>
      </c>
      <c r="E24" s="1" t="s">
        <v>21</v>
      </c>
      <c r="F24" s="85">
        <v>9</v>
      </c>
      <c r="G24" s="152">
        <v>3378</v>
      </c>
      <c r="H24" s="153">
        <f t="shared" si="5"/>
        <v>3437.72</v>
      </c>
      <c r="I24" s="153">
        <f t="shared" si="1"/>
        <v>3361.78</v>
      </c>
      <c r="J24" s="103">
        <f t="shared" si="2"/>
        <v>11356092.84</v>
      </c>
      <c r="K24" s="154">
        <f t="shared" si="6"/>
        <v>11612618.16</v>
      </c>
      <c r="L24" s="155">
        <f t="shared" si="3"/>
        <v>-256525.3200000003</v>
      </c>
      <c r="M24" s="103">
        <f t="shared" si="7"/>
        <v>-18368.661766367237</v>
      </c>
      <c r="N24" s="156">
        <f t="shared" si="8"/>
        <v>-274893.98176636756</v>
      </c>
      <c r="O24" s="103">
        <v>0</v>
      </c>
      <c r="P24" s="103">
        <v>0</v>
      </c>
      <c r="Q24" s="103">
        <v>0</v>
      </c>
      <c r="R24" s="156">
        <f t="shared" si="9"/>
        <v>-274893.98176636756</v>
      </c>
    </row>
    <row r="25" spans="1:18" x14ac:dyDescent="0.2">
      <c r="A25" s="85">
        <v>6</v>
      </c>
      <c r="B25" s="149">
        <f t="shared" si="4"/>
        <v>45809</v>
      </c>
      <c r="C25" s="150">
        <v>45841</v>
      </c>
      <c r="D25" s="150">
        <v>45862</v>
      </c>
      <c r="E25" s="1" t="s">
        <v>21</v>
      </c>
      <c r="F25" s="85">
        <v>9</v>
      </c>
      <c r="G25" s="152">
        <v>3824</v>
      </c>
      <c r="H25" s="153">
        <f t="shared" si="5"/>
        <v>3437.72</v>
      </c>
      <c r="I25" s="153">
        <f t="shared" si="1"/>
        <v>3361.78</v>
      </c>
      <c r="J25" s="103">
        <f t="shared" si="2"/>
        <v>12855446.720000001</v>
      </c>
      <c r="K25" s="154">
        <f t="shared" si="6"/>
        <v>13145841.279999999</v>
      </c>
      <c r="L25" s="155">
        <f t="shared" si="3"/>
        <v>-290394.55999999866</v>
      </c>
      <c r="M25" s="103">
        <f t="shared" si="7"/>
        <v>-20793.890643750245</v>
      </c>
      <c r="N25" s="156">
        <f t="shared" si="8"/>
        <v>-311188.45064374892</v>
      </c>
      <c r="O25" s="103">
        <v>0</v>
      </c>
      <c r="P25" s="103">
        <v>0</v>
      </c>
      <c r="Q25" s="103">
        <v>0</v>
      </c>
      <c r="R25" s="156">
        <f t="shared" si="9"/>
        <v>-311188.45064374892</v>
      </c>
    </row>
    <row r="26" spans="1:18" x14ac:dyDescent="0.2">
      <c r="A26" s="85">
        <v>7</v>
      </c>
      <c r="B26" s="149">
        <f t="shared" si="4"/>
        <v>45839</v>
      </c>
      <c r="C26" s="150">
        <v>45874</v>
      </c>
      <c r="D26" s="150">
        <v>45894</v>
      </c>
      <c r="E26" s="1" t="s">
        <v>21</v>
      </c>
      <c r="F26" s="85">
        <v>9</v>
      </c>
      <c r="G26" s="152">
        <v>4110</v>
      </c>
      <c r="H26" s="153">
        <f t="shared" si="5"/>
        <v>3437.72</v>
      </c>
      <c r="I26" s="153">
        <f t="shared" si="1"/>
        <v>3361.78</v>
      </c>
      <c r="J26" s="103">
        <f t="shared" si="2"/>
        <v>13816915.800000001</v>
      </c>
      <c r="K26" s="154">
        <f t="shared" si="6"/>
        <v>14129029.199999999</v>
      </c>
      <c r="L26" s="155">
        <f t="shared" si="3"/>
        <v>-312113.39999999851</v>
      </c>
      <c r="M26" s="103">
        <f t="shared" si="7"/>
        <v>-22349.082255704368</v>
      </c>
      <c r="N26" s="156">
        <f t="shared" si="8"/>
        <v>-334462.4822557029</v>
      </c>
      <c r="O26" s="103">
        <v>0</v>
      </c>
      <c r="P26" s="103">
        <v>0</v>
      </c>
      <c r="Q26" s="103">
        <v>0</v>
      </c>
      <c r="R26" s="156">
        <f t="shared" si="9"/>
        <v>-334462.4822557029</v>
      </c>
    </row>
    <row r="27" spans="1:18" x14ac:dyDescent="0.2">
      <c r="A27" s="85">
        <v>8</v>
      </c>
      <c r="B27" s="149">
        <f t="shared" si="4"/>
        <v>45870</v>
      </c>
      <c r="C27" s="150">
        <v>45904</v>
      </c>
      <c r="D27" s="150">
        <v>45924</v>
      </c>
      <c r="E27" s="1" t="s">
        <v>21</v>
      </c>
      <c r="F27" s="85">
        <v>9</v>
      </c>
      <c r="G27" s="152">
        <v>4096</v>
      </c>
      <c r="H27" s="153">
        <f t="shared" si="5"/>
        <v>3437.72</v>
      </c>
      <c r="I27" s="153">
        <f t="shared" si="1"/>
        <v>3361.78</v>
      </c>
      <c r="J27" s="103">
        <f t="shared" si="2"/>
        <v>13769850.880000001</v>
      </c>
      <c r="K27" s="154">
        <f t="shared" si="6"/>
        <v>14080901.119999999</v>
      </c>
      <c r="L27" s="155">
        <f t="shared" si="3"/>
        <v>-311050.23999999836</v>
      </c>
      <c r="M27" s="103">
        <f t="shared" si="7"/>
        <v>-22272.95399497934</v>
      </c>
      <c r="N27" s="156">
        <f t="shared" si="8"/>
        <v>-333323.19399497769</v>
      </c>
      <c r="O27" s="103">
        <v>0</v>
      </c>
      <c r="P27" s="103">
        <v>0</v>
      </c>
      <c r="Q27" s="103">
        <v>0</v>
      </c>
      <c r="R27" s="156">
        <f t="shared" si="9"/>
        <v>-333323.19399497769</v>
      </c>
    </row>
    <row r="28" spans="1:18" x14ac:dyDescent="0.2">
      <c r="A28" s="85">
        <v>9</v>
      </c>
      <c r="B28" s="149">
        <f t="shared" si="4"/>
        <v>45901</v>
      </c>
      <c r="C28" s="150">
        <v>45933</v>
      </c>
      <c r="D28" s="150">
        <v>45954</v>
      </c>
      <c r="E28" s="1" t="s">
        <v>21</v>
      </c>
      <c r="F28" s="85">
        <v>9</v>
      </c>
      <c r="G28" s="152">
        <v>3657</v>
      </c>
      <c r="H28" s="153">
        <f t="shared" si="5"/>
        <v>3437.72</v>
      </c>
      <c r="I28" s="153">
        <f t="shared" si="1"/>
        <v>3361.78</v>
      </c>
      <c r="J28" s="103">
        <f t="shared" si="2"/>
        <v>12294029.460000001</v>
      </c>
      <c r="K28" s="154">
        <f t="shared" si="6"/>
        <v>12571742.039999999</v>
      </c>
      <c r="L28" s="155">
        <f t="shared" si="3"/>
        <v>-277712.57999999821</v>
      </c>
      <c r="M28" s="103">
        <f t="shared" si="7"/>
        <v>-19885.789247958848</v>
      </c>
      <c r="N28" s="156">
        <f t="shared" si="8"/>
        <v>-297598.36924795707</v>
      </c>
      <c r="O28" s="103">
        <v>0</v>
      </c>
      <c r="P28" s="103">
        <v>0</v>
      </c>
      <c r="Q28" s="103">
        <v>0</v>
      </c>
      <c r="R28" s="156">
        <f t="shared" si="9"/>
        <v>-297598.36924795707</v>
      </c>
    </row>
    <row r="29" spans="1:18" x14ac:dyDescent="0.2">
      <c r="A29" s="85">
        <v>10</v>
      </c>
      <c r="B29" s="149">
        <f t="shared" si="4"/>
        <v>45931</v>
      </c>
      <c r="C29" s="150">
        <v>45966</v>
      </c>
      <c r="D29" s="150">
        <v>45985</v>
      </c>
      <c r="E29" s="1" t="s">
        <v>21</v>
      </c>
      <c r="F29" s="85">
        <v>9</v>
      </c>
      <c r="G29" s="152">
        <v>3261</v>
      </c>
      <c r="H29" s="153">
        <f t="shared" si="5"/>
        <v>3437.72</v>
      </c>
      <c r="I29" s="153">
        <f t="shared" si="1"/>
        <v>3361.78</v>
      </c>
      <c r="J29" s="103">
        <f t="shared" si="2"/>
        <v>10962764.58</v>
      </c>
      <c r="K29" s="154">
        <f t="shared" si="6"/>
        <v>11210404.92</v>
      </c>
      <c r="L29" s="155">
        <f t="shared" si="3"/>
        <v>-247640.33999999985</v>
      </c>
      <c r="M29" s="103">
        <f t="shared" si="7"/>
        <v>-17732.447016022372</v>
      </c>
      <c r="N29" s="156">
        <f t="shared" si="8"/>
        <v>-265372.78701602225</v>
      </c>
      <c r="O29" s="103">
        <v>0</v>
      </c>
      <c r="P29" s="103">
        <v>0</v>
      </c>
      <c r="Q29" s="103">
        <v>0</v>
      </c>
      <c r="R29" s="156">
        <f t="shared" si="9"/>
        <v>-265372.78701602225</v>
      </c>
    </row>
    <row r="30" spans="1:18" x14ac:dyDescent="0.2">
      <c r="A30" s="85">
        <v>11</v>
      </c>
      <c r="B30" s="149">
        <f t="shared" si="4"/>
        <v>45962</v>
      </c>
      <c r="C30" s="150">
        <v>45994</v>
      </c>
      <c r="D30" s="150">
        <v>46015</v>
      </c>
      <c r="E30" s="1" t="s">
        <v>21</v>
      </c>
      <c r="F30" s="85">
        <v>9</v>
      </c>
      <c r="G30" s="152">
        <v>2449</v>
      </c>
      <c r="H30" s="153">
        <f t="shared" si="5"/>
        <v>3437.72</v>
      </c>
      <c r="I30" s="153">
        <f t="shared" si="1"/>
        <v>3361.78</v>
      </c>
      <c r="J30" s="103">
        <f t="shared" si="2"/>
        <v>8232999.2200000007</v>
      </c>
      <c r="K30" s="154">
        <f t="shared" si="6"/>
        <v>8418976.2799999993</v>
      </c>
      <c r="L30" s="155">
        <f t="shared" si="3"/>
        <v>-185977.05999999866</v>
      </c>
      <c r="M30" s="103">
        <f t="shared" si="7"/>
        <v>-13317.007893970802</v>
      </c>
      <c r="N30" s="156">
        <f t="shared" si="8"/>
        <v>-199294.06789396945</v>
      </c>
      <c r="O30" s="103">
        <v>0</v>
      </c>
      <c r="P30" s="103">
        <v>0</v>
      </c>
      <c r="Q30" s="103">
        <v>0</v>
      </c>
      <c r="R30" s="156">
        <f t="shared" si="9"/>
        <v>-199294.06789396945</v>
      </c>
    </row>
    <row r="31" spans="1:18" x14ac:dyDescent="0.2">
      <c r="A31" s="85">
        <v>12</v>
      </c>
      <c r="B31" s="149">
        <f t="shared" si="4"/>
        <v>45992</v>
      </c>
      <c r="C31" s="158">
        <v>46028</v>
      </c>
      <c r="D31" s="159">
        <v>46048</v>
      </c>
      <c r="E31" s="1" t="s">
        <v>21</v>
      </c>
      <c r="F31" s="85">
        <v>9</v>
      </c>
      <c r="G31" s="152">
        <v>2817</v>
      </c>
      <c r="H31" s="161">
        <f t="shared" si="5"/>
        <v>3437.72</v>
      </c>
      <c r="I31" s="161">
        <f t="shared" si="1"/>
        <v>3361.78</v>
      </c>
      <c r="J31" s="162">
        <f t="shared" si="2"/>
        <v>9470134.2599999998</v>
      </c>
      <c r="K31" s="163">
        <f t="shared" si="6"/>
        <v>9684057.2400000002</v>
      </c>
      <c r="L31" s="164">
        <f t="shared" si="3"/>
        <v>-213922.98000000045</v>
      </c>
      <c r="M31" s="162">
        <f t="shared" si="7"/>
        <v>-15318.093604457226</v>
      </c>
      <c r="N31" s="208">
        <f t="shared" si="8"/>
        <v>-229241.07360445766</v>
      </c>
      <c r="O31" s="162">
        <v>0</v>
      </c>
      <c r="P31" s="162">
        <v>0</v>
      </c>
      <c r="Q31" s="162">
        <v>0</v>
      </c>
      <c r="R31" s="208">
        <f t="shared" si="9"/>
        <v>-229241.07360445766</v>
      </c>
    </row>
    <row r="32" spans="1:18" x14ac:dyDescent="0.2">
      <c r="A32" s="85">
        <v>1</v>
      </c>
      <c r="B32" s="165">
        <f t="shared" si="4"/>
        <v>45658</v>
      </c>
      <c r="C32" s="166">
        <f t="shared" ref="C32:D43" si="10">+C20</f>
        <v>45693</v>
      </c>
      <c r="D32" s="166">
        <f t="shared" si="10"/>
        <v>45712</v>
      </c>
      <c r="E32" s="167" t="s">
        <v>22</v>
      </c>
      <c r="F32" s="182">
        <v>9</v>
      </c>
      <c r="G32" s="152">
        <v>3414</v>
      </c>
      <c r="H32" s="153">
        <f t="shared" si="5"/>
        <v>3437.72</v>
      </c>
      <c r="I32" s="153">
        <f t="shared" si="1"/>
        <v>3361.78</v>
      </c>
      <c r="J32" s="103">
        <f t="shared" si="2"/>
        <v>11477116.92</v>
      </c>
      <c r="K32" s="154">
        <f t="shared" si="6"/>
        <v>11736376.08</v>
      </c>
      <c r="L32" s="155">
        <f t="shared" si="3"/>
        <v>-259259.16000000015</v>
      </c>
      <c r="M32" s="103">
        <f t="shared" si="7"/>
        <v>-18564.42015108874</v>
      </c>
      <c r="N32" s="156">
        <f t="shared" si="8"/>
        <v>-277823.58015108889</v>
      </c>
      <c r="O32" s="103">
        <v>0</v>
      </c>
      <c r="P32" s="103">
        <v>0</v>
      </c>
      <c r="Q32" s="103">
        <v>0</v>
      </c>
      <c r="R32" s="156">
        <f t="shared" si="9"/>
        <v>-277823.58015108889</v>
      </c>
    </row>
    <row r="33" spans="1:18" x14ac:dyDescent="0.2">
      <c r="A33" s="85">
        <v>2</v>
      </c>
      <c r="B33" s="149">
        <f t="shared" si="4"/>
        <v>45689</v>
      </c>
      <c r="C33" s="168">
        <f t="shared" si="10"/>
        <v>45721</v>
      </c>
      <c r="D33" s="168">
        <f t="shared" si="10"/>
        <v>45740</v>
      </c>
      <c r="E33" s="157" t="s">
        <v>22</v>
      </c>
      <c r="F33" s="85">
        <v>9</v>
      </c>
      <c r="G33" s="152">
        <v>3330</v>
      </c>
      <c r="H33" s="153">
        <f t="shared" si="5"/>
        <v>3437.72</v>
      </c>
      <c r="I33" s="153">
        <f t="shared" si="1"/>
        <v>3361.78</v>
      </c>
      <c r="J33" s="103">
        <f t="shared" si="2"/>
        <v>11194727.4</v>
      </c>
      <c r="K33" s="154">
        <f t="shared" si="6"/>
        <v>11447607.6</v>
      </c>
      <c r="L33" s="155">
        <f t="shared" si="3"/>
        <v>-252880.19999999925</v>
      </c>
      <c r="M33" s="103">
        <f t="shared" si="7"/>
        <v>-18107.650586738575</v>
      </c>
      <c r="N33" s="156">
        <f t="shared" si="8"/>
        <v>-270987.85058673786</v>
      </c>
      <c r="O33" s="103">
        <v>0</v>
      </c>
      <c r="P33" s="103">
        <v>0</v>
      </c>
      <c r="Q33" s="103">
        <v>0</v>
      </c>
      <c r="R33" s="156">
        <f t="shared" si="9"/>
        <v>-270987.85058673786</v>
      </c>
    </row>
    <row r="34" spans="1:18" x14ac:dyDescent="0.2">
      <c r="A34" s="85">
        <v>3</v>
      </c>
      <c r="B34" s="149">
        <f t="shared" si="4"/>
        <v>45717</v>
      </c>
      <c r="C34" s="168">
        <f t="shared" si="10"/>
        <v>45750</v>
      </c>
      <c r="D34" s="168">
        <f t="shared" si="10"/>
        <v>45771</v>
      </c>
      <c r="E34" s="157" t="s">
        <v>22</v>
      </c>
      <c r="F34" s="85">
        <v>9</v>
      </c>
      <c r="G34" s="152">
        <v>2483</v>
      </c>
      <c r="H34" s="153">
        <f t="shared" si="5"/>
        <v>3437.72</v>
      </c>
      <c r="I34" s="153">
        <f t="shared" si="1"/>
        <v>3361.78</v>
      </c>
      <c r="J34" s="103">
        <f t="shared" si="2"/>
        <v>8347299.7400000002</v>
      </c>
      <c r="K34" s="154">
        <f t="shared" ref="K34:K93" si="11">+$G34*H34</f>
        <v>8535858.7599999998</v>
      </c>
      <c r="L34" s="155">
        <f t="shared" si="3"/>
        <v>-188559.01999999955</v>
      </c>
      <c r="M34" s="103">
        <f t="shared" si="7"/>
        <v>-13501.890812874439</v>
      </c>
      <c r="N34" s="156">
        <f t="shared" si="8"/>
        <v>-202060.910812874</v>
      </c>
      <c r="O34" s="103">
        <v>0</v>
      </c>
      <c r="P34" s="103">
        <v>0</v>
      </c>
      <c r="Q34" s="103">
        <v>0</v>
      </c>
      <c r="R34" s="156">
        <f t="shared" si="9"/>
        <v>-202060.910812874</v>
      </c>
    </row>
    <row r="35" spans="1:18" x14ac:dyDescent="0.2">
      <c r="A35" s="85">
        <v>4</v>
      </c>
      <c r="B35" s="149">
        <f t="shared" si="4"/>
        <v>45748</v>
      </c>
      <c r="C35" s="168">
        <f t="shared" si="10"/>
        <v>45782</v>
      </c>
      <c r="D35" s="168">
        <f t="shared" si="10"/>
        <v>45803</v>
      </c>
      <c r="E35" s="157" t="s">
        <v>22</v>
      </c>
      <c r="F35" s="85">
        <v>9</v>
      </c>
      <c r="G35" s="152">
        <v>2549</v>
      </c>
      <c r="H35" s="153">
        <f t="shared" si="5"/>
        <v>3437.72</v>
      </c>
      <c r="I35" s="153">
        <f t="shared" si="1"/>
        <v>3361.78</v>
      </c>
      <c r="J35" s="103">
        <f t="shared" si="2"/>
        <v>8569177.2200000007</v>
      </c>
      <c r="K35" s="154">
        <f t="shared" si="11"/>
        <v>8762748.2799999993</v>
      </c>
      <c r="L35" s="155">
        <f t="shared" ref="L35:L57" si="12">+J35-K35</f>
        <v>-193571.05999999866</v>
      </c>
      <c r="M35" s="103">
        <f t="shared" si="7"/>
        <v>-13860.781184863852</v>
      </c>
      <c r="N35" s="156">
        <f t="shared" si="8"/>
        <v>-207431.84118486251</v>
      </c>
      <c r="O35" s="103">
        <v>0</v>
      </c>
      <c r="P35" s="103">
        <v>0</v>
      </c>
      <c r="Q35" s="103">
        <v>0</v>
      </c>
      <c r="R35" s="156">
        <f t="shared" si="9"/>
        <v>-207431.84118486251</v>
      </c>
    </row>
    <row r="36" spans="1:18" x14ac:dyDescent="0.2">
      <c r="A36" s="85">
        <v>5</v>
      </c>
      <c r="B36" s="149">
        <f t="shared" si="4"/>
        <v>45778</v>
      </c>
      <c r="C36" s="168">
        <f t="shared" si="10"/>
        <v>45812</v>
      </c>
      <c r="D36" s="168">
        <f t="shared" si="10"/>
        <v>45832</v>
      </c>
      <c r="E36" s="1" t="s">
        <v>22</v>
      </c>
      <c r="F36" s="85">
        <v>9</v>
      </c>
      <c r="G36" s="152">
        <v>3007</v>
      </c>
      <c r="H36" s="153">
        <f t="shared" si="5"/>
        <v>3437.72</v>
      </c>
      <c r="I36" s="153">
        <f t="shared" si="1"/>
        <v>3361.78</v>
      </c>
      <c r="J36" s="103">
        <f t="shared" si="2"/>
        <v>10108872.460000001</v>
      </c>
      <c r="K36" s="154">
        <f t="shared" si="11"/>
        <v>10337224.039999999</v>
      </c>
      <c r="L36" s="155">
        <f t="shared" si="12"/>
        <v>-228351.57999999821</v>
      </c>
      <c r="M36" s="103">
        <f t="shared" si="7"/>
        <v>-16351.262857154023</v>
      </c>
      <c r="N36" s="156">
        <f t="shared" si="8"/>
        <v>-244702.84285715222</v>
      </c>
      <c r="O36" s="103">
        <v>0</v>
      </c>
      <c r="P36" s="103">
        <v>0</v>
      </c>
      <c r="Q36" s="103">
        <v>0</v>
      </c>
      <c r="R36" s="156">
        <f t="shared" si="9"/>
        <v>-244702.84285715222</v>
      </c>
    </row>
    <row r="37" spans="1:18" x14ac:dyDescent="0.2">
      <c r="A37" s="85">
        <v>6</v>
      </c>
      <c r="B37" s="149">
        <f t="shared" si="4"/>
        <v>45809</v>
      </c>
      <c r="C37" s="168">
        <f t="shared" si="10"/>
        <v>45841</v>
      </c>
      <c r="D37" s="168">
        <f t="shared" si="10"/>
        <v>45862</v>
      </c>
      <c r="E37" s="1" t="s">
        <v>22</v>
      </c>
      <c r="F37" s="85">
        <v>9</v>
      </c>
      <c r="G37" s="152">
        <v>3377</v>
      </c>
      <c r="H37" s="153">
        <f t="shared" si="5"/>
        <v>3437.72</v>
      </c>
      <c r="I37" s="153">
        <f t="shared" si="1"/>
        <v>3361.78</v>
      </c>
      <c r="J37" s="103">
        <f t="shared" si="2"/>
        <v>11352731.060000001</v>
      </c>
      <c r="K37" s="154">
        <f t="shared" si="11"/>
        <v>11609180.439999999</v>
      </c>
      <c r="L37" s="155">
        <f t="shared" si="12"/>
        <v>-256449.37999999896</v>
      </c>
      <c r="M37" s="103">
        <f t="shared" si="7"/>
        <v>-18363.224033458308</v>
      </c>
      <c r="N37" s="156">
        <f t="shared" si="8"/>
        <v>-274812.60403345729</v>
      </c>
      <c r="O37" s="103">
        <v>0</v>
      </c>
      <c r="P37" s="103">
        <v>0</v>
      </c>
      <c r="Q37" s="103">
        <v>0</v>
      </c>
      <c r="R37" s="156">
        <f t="shared" si="9"/>
        <v>-274812.60403345729</v>
      </c>
    </row>
    <row r="38" spans="1:18" x14ac:dyDescent="0.2">
      <c r="A38" s="85">
        <v>7</v>
      </c>
      <c r="B38" s="149">
        <f t="shared" si="4"/>
        <v>45839</v>
      </c>
      <c r="C38" s="168">
        <f t="shared" si="10"/>
        <v>45874</v>
      </c>
      <c r="D38" s="168">
        <f t="shared" si="10"/>
        <v>45894</v>
      </c>
      <c r="E38" s="1" t="s">
        <v>22</v>
      </c>
      <c r="F38" s="85">
        <v>9</v>
      </c>
      <c r="G38" s="152">
        <v>3723</v>
      </c>
      <c r="H38" s="153">
        <f t="shared" si="5"/>
        <v>3437.72</v>
      </c>
      <c r="I38" s="153">
        <f t="shared" si="1"/>
        <v>3361.78</v>
      </c>
      <c r="J38" s="103">
        <f t="shared" si="2"/>
        <v>12515906.940000001</v>
      </c>
      <c r="K38" s="154">
        <f t="shared" si="11"/>
        <v>12798631.559999999</v>
      </c>
      <c r="L38" s="155">
        <f t="shared" si="12"/>
        <v>-282724.61999999732</v>
      </c>
      <c r="M38" s="103">
        <f t="shared" si="7"/>
        <v>-20244.679619948263</v>
      </c>
      <c r="N38" s="156">
        <f t="shared" si="8"/>
        <v>-302969.29961994558</v>
      </c>
      <c r="O38" s="103">
        <v>0</v>
      </c>
      <c r="P38" s="103">
        <v>0</v>
      </c>
      <c r="Q38" s="103">
        <v>0</v>
      </c>
      <c r="R38" s="156">
        <f t="shared" si="9"/>
        <v>-302969.29961994558</v>
      </c>
    </row>
    <row r="39" spans="1:18" x14ac:dyDescent="0.2">
      <c r="A39" s="85">
        <v>8</v>
      </c>
      <c r="B39" s="149">
        <f t="shared" si="4"/>
        <v>45870</v>
      </c>
      <c r="C39" s="168">
        <f t="shared" si="10"/>
        <v>45904</v>
      </c>
      <c r="D39" s="168">
        <f t="shared" si="10"/>
        <v>45924</v>
      </c>
      <c r="E39" s="1" t="s">
        <v>22</v>
      </c>
      <c r="F39" s="85">
        <v>9</v>
      </c>
      <c r="G39" s="152">
        <v>3715</v>
      </c>
      <c r="H39" s="153">
        <f t="shared" si="5"/>
        <v>3437.72</v>
      </c>
      <c r="I39" s="153">
        <f t="shared" si="1"/>
        <v>3361.78</v>
      </c>
      <c r="J39" s="103">
        <f t="shared" si="2"/>
        <v>12489012.700000001</v>
      </c>
      <c r="K39" s="154">
        <f t="shared" si="11"/>
        <v>12771129.799999999</v>
      </c>
      <c r="L39" s="155">
        <f t="shared" si="12"/>
        <v>-282117.09999999776</v>
      </c>
      <c r="M39" s="103">
        <f t="shared" si="7"/>
        <v>-20201.177756676818</v>
      </c>
      <c r="N39" s="156">
        <f t="shared" si="8"/>
        <v>-302318.27775667456</v>
      </c>
      <c r="O39" s="103">
        <v>0</v>
      </c>
      <c r="P39" s="103">
        <v>0</v>
      </c>
      <c r="Q39" s="103">
        <v>0</v>
      </c>
      <c r="R39" s="156">
        <f t="shared" si="9"/>
        <v>-302318.27775667456</v>
      </c>
    </row>
    <row r="40" spans="1:18" x14ac:dyDescent="0.2">
      <c r="A40" s="85">
        <v>9</v>
      </c>
      <c r="B40" s="149">
        <f t="shared" si="4"/>
        <v>45901</v>
      </c>
      <c r="C40" s="168">
        <f t="shared" si="10"/>
        <v>45933</v>
      </c>
      <c r="D40" s="168">
        <f t="shared" si="10"/>
        <v>45954</v>
      </c>
      <c r="E40" s="1" t="s">
        <v>22</v>
      </c>
      <c r="F40" s="85">
        <v>9</v>
      </c>
      <c r="G40" s="152">
        <v>3256</v>
      </c>
      <c r="H40" s="153">
        <f t="shared" si="5"/>
        <v>3437.72</v>
      </c>
      <c r="I40" s="153">
        <f t="shared" si="1"/>
        <v>3361.78</v>
      </c>
      <c r="J40" s="103">
        <f t="shared" si="2"/>
        <v>10945955.680000002</v>
      </c>
      <c r="K40" s="154">
        <f t="shared" si="11"/>
        <v>11193216.319999998</v>
      </c>
      <c r="L40" s="155">
        <f t="shared" si="12"/>
        <v>-247260.63999999687</v>
      </c>
      <c r="M40" s="103">
        <f t="shared" si="7"/>
        <v>-17705.258351477718</v>
      </c>
      <c r="N40" s="156">
        <f t="shared" si="8"/>
        <v>-264965.89835147461</v>
      </c>
      <c r="O40" s="103">
        <v>0</v>
      </c>
      <c r="P40" s="103">
        <v>0</v>
      </c>
      <c r="Q40" s="103">
        <v>0</v>
      </c>
      <c r="R40" s="156">
        <f t="shared" si="9"/>
        <v>-264965.89835147461</v>
      </c>
    </row>
    <row r="41" spans="1:18" x14ac:dyDescent="0.2">
      <c r="A41" s="85">
        <v>10</v>
      </c>
      <c r="B41" s="149">
        <f t="shared" si="4"/>
        <v>45931</v>
      </c>
      <c r="C41" s="168">
        <f t="shared" si="10"/>
        <v>45966</v>
      </c>
      <c r="D41" s="168">
        <f t="shared" si="10"/>
        <v>45985</v>
      </c>
      <c r="E41" s="1" t="s">
        <v>22</v>
      </c>
      <c r="F41" s="85">
        <v>9</v>
      </c>
      <c r="G41" s="152">
        <v>3014</v>
      </c>
      <c r="H41" s="153">
        <f t="shared" si="5"/>
        <v>3437.72</v>
      </c>
      <c r="I41" s="153">
        <f t="shared" si="1"/>
        <v>3361.78</v>
      </c>
      <c r="J41" s="103">
        <f t="shared" si="2"/>
        <v>10132404.92</v>
      </c>
      <c r="K41" s="154">
        <f t="shared" si="11"/>
        <v>10361288.08</v>
      </c>
      <c r="L41" s="155">
        <f t="shared" si="12"/>
        <v>-228883.16000000015</v>
      </c>
      <c r="M41" s="103">
        <f t="shared" si="7"/>
        <v>-16389.326987516535</v>
      </c>
      <c r="N41" s="156">
        <f t="shared" si="8"/>
        <v>-245272.48698751669</v>
      </c>
      <c r="O41" s="103">
        <v>0</v>
      </c>
      <c r="P41" s="103">
        <v>0</v>
      </c>
      <c r="Q41" s="103">
        <v>0</v>
      </c>
      <c r="R41" s="156">
        <f t="shared" si="9"/>
        <v>-245272.48698751669</v>
      </c>
    </row>
    <row r="42" spans="1:18" x14ac:dyDescent="0.2">
      <c r="A42" s="85">
        <v>11</v>
      </c>
      <c r="B42" s="149">
        <f t="shared" si="4"/>
        <v>45962</v>
      </c>
      <c r="C42" s="168">
        <f t="shared" si="10"/>
        <v>45994</v>
      </c>
      <c r="D42" s="168">
        <f t="shared" si="10"/>
        <v>46015</v>
      </c>
      <c r="E42" s="1" t="s">
        <v>22</v>
      </c>
      <c r="F42" s="85">
        <v>9</v>
      </c>
      <c r="G42" s="152">
        <v>2338</v>
      </c>
      <c r="H42" s="153">
        <f t="shared" si="5"/>
        <v>3437.72</v>
      </c>
      <c r="I42" s="153">
        <f t="shared" si="1"/>
        <v>3361.78</v>
      </c>
      <c r="J42" s="103">
        <f t="shared" si="2"/>
        <v>7859841.6400000006</v>
      </c>
      <c r="K42" s="154">
        <f t="shared" si="11"/>
        <v>8037389.3599999994</v>
      </c>
      <c r="L42" s="155">
        <f t="shared" si="12"/>
        <v>-177547.71999999881</v>
      </c>
      <c r="M42" s="103">
        <f t="shared" si="7"/>
        <v>-12713.419541079516</v>
      </c>
      <c r="N42" s="156">
        <f t="shared" si="8"/>
        <v>-190261.13954107833</v>
      </c>
      <c r="O42" s="103">
        <v>0</v>
      </c>
      <c r="P42" s="103">
        <v>0</v>
      </c>
      <c r="Q42" s="103">
        <v>0</v>
      </c>
      <c r="R42" s="156">
        <f t="shared" si="9"/>
        <v>-190261.13954107833</v>
      </c>
    </row>
    <row r="43" spans="1:18" x14ac:dyDescent="0.2">
      <c r="A43" s="85">
        <v>12</v>
      </c>
      <c r="B43" s="149">
        <f t="shared" si="4"/>
        <v>45992</v>
      </c>
      <c r="C43" s="168">
        <f t="shared" si="10"/>
        <v>46028</v>
      </c>
      <c r="D43" s="168">
        <f t="shared" si="10"/>
        <v>46048</v>
      </c>
      <c r="E43" s="1" t="s">
        <v>22</v>
      </c>
      <c r="F43" s="85">
        <v>9</v>
      </c>
      <c r="G43" s="152">
        <v>2969</v>
      </c>
      <c r="H43" s="161">
        <f t="shared" si="5"/>
        <v>3437.72</v>
      </c>
      <c r="I43" s="161">
        <f t="shared" si="1"/>
        <v>3361.78</v>
      </c>
      <c r="J43" s="162">
        <f t="shared" si="2"/>
        <v>9981124.8200000003</v>
      </c>
      <c r="K43" s="163">
        <f t="shared" si="11"/>
        <v>10206590.68</v>
      </c>
      <c r="L43" s="164">
        <f t="shared" si="12"/>
        <v>-225465.8599999994</v>
      </c>
      <c r="M43" s="162">
        <f t="shared" si="7"/>
        <v>-16144.629006614665</v>
      </c>
      <c r="N43" s="208">
        <f t="shared" si="8"/>
        <v>-241610.48900661408</v>
      </c>
      <c r="O43" s="162">
        <v>0</v>
      </c>
      <c r="P43" s="162">
        <v>0</v>
      </c>
      <c r="Q43" s="162">
        <v>0</v>
      </c>
      <c r="R43" s="208">
        <f t="shared" si="9"/>
        <v>-241610.48900661408</v>
      </c>
    </row>
    <row r="44" spans="1:18" x14ac:dyDescent="0.2">
      <c r="A44" s="85">
        <v>1</v>
      </c>
      <c r="B44" s="165">
        <f t="shared" ref="B44:B55" si="13">DATE($R$1,A44,1)</f>
        <v>45658</v>
      </c>
      <c r="C44" s="166">
        <f t="shared" ref="C44:D55" si="14">+C32</f>
        <v>45693</v>
      </c>
      <c r="D44" s="166">
        <f t="shared" si="14"/>
        <v>45712</v>
      </c>
      <c r="E44" s="167" t="s">
        <v>81</v>
      </c>
      <c r="F44" s="182">
        <v>9</v>
      </c>
      <c r="G44" s="152">
        <v>211</v>
      </c>
      <c r="H44" s="153">
        <f t="shared" si="5"/>
        <v>3437.72</v>
      </c>
      <c r="I44" s="153">
        <f t="shared" si="1"/>
        <v>3361.78</v>
      </c>
      <c r="J44" s="103">
        <f t="shared" ref="J44:J55" si="15">+$G44*I44</f>
        <v>709335.58000000007</v>
      </c>
      <c r="K44" s="154">
        <f t="shared" ref="K44:K55" si="16">+$G44*H44</f>
        <v>725358.91999999993</v>
      </c>
      <c r="L44" s="155">
        <f t="shared" ref="L44:L55" si="17">+J44-K44</f>
        <v>-16023.339999999851</v>
      </c>
      <c r="M44" s="103">
        <f t="shared" si="7"/>
        <v>-1147.3616437843361</v>
      </c>
      <c r="N44" s="156">
        <f t="shared" si="8"/>
        <v>-17170.701643784188</v>
      </c>
      <c r="O44" s="103">
        <v>0</v>
      </c>
      <c r="P44" s="103">
        <v>0</v>
      </c>
      <c r="Q44" s="103">
        <v>0</v>
      </c>
      <c r="R44" s="156">
        <f t="shared" si="9"/>
        <v>-17170.701643784188</v>
      </c>
    </row>
    <row r="45" spans="1:18" x14ac:dyDescent="0.2">
      <c r="A45" s="85">
        <v>2</v>
      </c>
      <c r="B45" s="149">
        <f t="shared" si="13"/>
        <v>45689</v>
      </c>
      <c r="C45" s="168">
        <f t="shared" si="14"/>
        <v>45721</v>
      </c>
      <c r="D45" s="168">
        <f t="shared" si="14"/>
        <v>45740</v>
      </c>
      <c r="E45" s="157" t="s">
        <v>81</v>
      </c>
      <c r="F45" s="85">
        <v>9</v>
      </c>
      <c r="G45" s="152">
        <v>200</v>
      </c>
      <c r="H45" s="153">
        <f t="shared" si="5"/>
        <v>3437.72</v>
      </c>
      <c r="I45" s="153">
        <f t="shared" si="1"/>
        <v>3361.78</v>
      </c>
      <c r="J45" s="103">
        <f t="shared" si="15"/>
        <v>672356</v>
      </c>
      <c r="K45" s="154">
        <f t="shared" si="16"/>
        <v>687544</v>
      </c>
      <c r="L45" s="155">
        <f t="shared" si="17"/>
        <v>-15188</v>
      </c>
      <c r="M45" s="103">
        <f t="shared" si="7"/>
        <v>-1087.5465817861007</v>
      </c>
      <c r="N45" s="156">
        <f t="shared" si="8"/>
        <v>-16275.5465817861</v>
      </c>
      <c r="O45" s="103">
        <v>0</v>
      </c>
      <c r="P45" s="103">
        <v>0</v>
      </c>
      <c r="Q45" s="103">
        <v>0</v>
      </c>
      <c r="R45" s="156">
        <f t="shared" si="9"/>
        <v>-16275.5465817861</v>
      </c>
    </row>
    <row r="46" spans="1:18" x14ac:dyDescent="0.2">
      <c r="A46" s="85">
        <v>3</v>
      </c>
      <c r="B46" s="149">
        <f t="shared" si="13"/>
        <v>45717</v>
      </c>
      <c r="C46" s="168">
        <f t="shared" si="14"/>
        <v>45750</v>
      </c>
      <c r="D46" s="168">
        <f t="shared" si="14"/>
        <v>45771</v>
      </c>
      <c r="E46" s="157" t="s">
        <v>81</v>
      </c>
      <c r="F46" s="85">
        <v>9</v>
      </c>
      <c r="G46" s="152">
        <v>122</v>
      </c>
      <c r="H46" s="153">
        <f t="shared" si="5"/>
        <v>3437.72</v>
      </c>
      <c r="I46" s="153">
        <f t="shared" si="1"/>
        <v>3361.78</v>
      </c>
      <c r="J46" s="103">
        <f t="shared" si="15"/>
        <v>410137.16000000003</v>
      </c>
      <c r="K46" s="154">
        <f t="shared" si="16"/>
        <v>419401.83999999997</v>
      </c>
      <c r="L46" s="155">
        <f t="shared" si="17"/>
        <v>-9264.6799999999348</v>
      </c>
      <c r="M46" s="103">
        <f t="shared" si="7"/>
        <v>-663.4034148895214</v>
      </c>
      <c r="N46" s="156">
        <f t="shared" si="8"/>
        <v>-9928.0834148894555</v>
      </c>
      <c r="O46" s="103">
        <v>0</v>
      </c>
      <c r="P46" s="103">
        <v>0</v>
      </c>
      <c r="Q46" s="103">
        <v>0</v>
      </c>
      <c r="R46" s="156">
        <f t="shared" si="9"/>
        <v>-9928.0834148894555</v>
      </c>
    </row>
    <row r="47" spans="1:18" x14ac:dyDescent="0.2">
      <c r="A47" s="85">
        <v>4</v>
      </c>
      <c r="B47" s="149">
        <f t="shared" si="13"/>
        <v>45748</v>
      </c>
      <c r="C47" s="168">
        <f t="shared" si="14"/>
        <v>45782</v>
      </c>
      <c r="D47" s="168">
        <f t="shared" si="14"/>
        <v>45803</v>
      </c>
      <c r="E47" s="157" t="s">
        <v>81</v>
      </c>
      <c r="F47" s="85">
        <v>9</v>
      </c>
      <c r="G47" s="152">
        <v>109</v>
      </c>
      <c r="H47" s="153">
        <f t="shared" si="5"/>
        <v>3437.72</v>
      </c>
      <c r="I47" s="153">
        <f t="shared" si="1"/>
        <v>3361.78</v>
      </c>
      <c r="J47" s="103">
        <f t="shared" si="15"/>
        <v>366434.02</v>
      </c>
      <c r="K47" s="154">
        <f t="shared" si="16"/>
        <v>374711.48</v>
      </c>
      <c r="L47" s="155">
        <f t="shared" si="17"/>
        <v>-8277.4599999999627</v>
      </c>
      <c r="M47" s="103">
        <f t="shared" si="7"/>
        <v>-592.71288707342489</v>
      </c>
      <c r="N47" s="156">
        <f t="shared" si="8"/>
        <v>-8870.1728870733878</v>
      </c>
      <c r="O47" s="103">
        <v>0</v>
      </c>
      <c r="P47" s="103">
        <v>0</v>
      </c>
      <c r="Q47" s="103">
        <v>0</v>
      </c>
      <c r="R47" s="156">
        <f t="shared" si="9"/>
        <v>-8870.1728870733878</v>
      </c>
    </row>
    <row r="48" spans="1:18" x14ac:dyDescent="0.2">
      <c r="A48" s="85">
        <v>5</v>
      </c>
      <c r="B48" s="149">
        <f t="shared" si="13"/>
        <v>45778</v>
      </c>
      <c r="C48" s="168">
        <f t="shared" si="14"/>
        <v>45812</v>
      </c>
      <c r="D48" s="168">
        <f t="shared" si="14"/>
        <v>45832</v>
      </c>
      <c r="E48" s="157" t="s">
        <v>81</v>
      </c>
      <c r="F48" s="85">
        <v>9</v>
      </c>
      <c r="G48" s="152">
        <v>102</v>
      </c>
      <c r="H48" s="153">
        <f t="shared" si="5"/>
        <v>3437.72</v>
      </c>
      <c r="I48" s="153">
        <f t="shared" si="1"/>
        <v>3361.78</v>
      </c>
      <c r="J48" s="103">
        <f t="shared" si="15"/>
        <v>342901.56</v>
      </c>
      <c r="K48" s="154">
        <f t="shared" si="16"/>
        <v>350647.44</v>
      </c>
      <c r="L48" s="155">
        <f t="shared" si="17"/>
        <v>-7745.8800000000047</v>
      </c>
      <c r="M48" s="103">
        <f t="shared" si="7"/>
        <v>-554.64875671091124</v>
      </c>
      <c r="N48" s="156">
        <f t="shared" si="8"/>
        <v>-8300.5287567109153</v>
      </c>
      <c r="O48" s="103">
        <v>0</v>
      </c>
      <c r="P48" s="103">
        <v>0</v>
      </c>
      <c r="Q48" s="103">
        <v>0</v>
      </c>
      <c r="R48" s="156">
        <f t="shared" si="9"/>
        <v>-8300.5287567109153</v>
      </c>
    </row>
    <row r="49" spans="1:18" x14ac:dyDescent="0.2">
      <c r="A49" s="85">
        <v>6</v>
      </c>
      <c r="B49" s="149">
        <f t="shared" si="13"/>
        <v>45809</v>
      </c>
      <c r="C49" s="168">
        <f t="shared" si="14"/>
        <v>45841</v>
      </c>
      <c r="D49" s="168">
        <f t="shared" si="14"/>
        <v>45862</v>
      </c>
      <c r="E49" s="157" t="s">
        <v>81</v>
      </c>
      <c r="F49" s="85">
        <v>9</v>
      </c>
      <c r="G49" s="152">
        <v>131</v>
      </c>
      <c r="H49" s="153">
        <f t="shared" si="5"/>
        <v>3437.72</v>
      </c>
      <c r="I49" s="153">
        <f t="shared" si="1"/>
        <v>3361.78</v>
      </c>
      <c r="J49" s="103">
        <f t="shared" si="15"/>
        <v>440393.18000000005</v>
      </c>
      <c r="K49" s="154">
        <f t="shared" si="16"/>
        <v>450341.31999999995</v>
      </c>
      <c r="L49" s="155">
        <f t="shared" si="17"/>
        <v>-9948.1399999998976</v>
      </c>
      <c r="M49" s="103">
        <f t="shared" si="7"/>
        <v>-712.34301106989585</v>
      </c>
      <c r="N49" s="156">
        <f t="shared" si="8"/>
        <v>-10660.483011069793</v>
      </c>
      <c r="O49" s="103">
        <v>0</v>
      </c>
      <c r="P49" s="103">
        <v>0</v>
      </c>
      <c r="Q49" s="103">
        <v>0</v>
      </c>
      <c r="R49" s="156">
        <f t="shared" si="9"/>
        <v>-10660.483011069793</v>
      </c>
    </row>
    <row r="50" spans="1:18" x14ac:dyDescent="0.2">
      <c r="A50" s="85">
        <v>7</v>
      </c>
      <c r="B50" s="149">
        <f t="shared" si="13"/>
        <v>45839</v>
      </c>
      <c r="C50" s="168">
        <f t="shared" si="14"/>
        <v>45874</v>
      </c>
      <c r="D50" s="168">
        <f t="shared" si="14"/>
        <v>45894</v>
      </c>
      <c r="E50" s="157" t="s">
        <v>81</v>
      </c>
      <c r="F50" s="85">
        <v>9</v>
      </c>
      <c r="G50" s="152">
        <v>146</v>
      </c>
      <c r="H50" s="153">
        <f t="shared" si="5"/>
        <v>3437.72</v>
      </c>
      <c r="I50" s="153">
        <f t="shared" si="1"/>
        <v>3361.78</v>
      </c>
      <c r="J50" s="103">
        <f t="shared" si="15"/>
        <v>490819.88</v>
      </c>
      <c r="K50" s="154">
        <f t="shared" si="16"/>
        <v>501907.12</v>
      </c>
      <c r="L50" s="155">
        <f t="shared" si="17"/>
        <v>-11087.239999999991</v>
      </c>
      <c r="M50" s="103">
        <f t="shared" si="7"/>
        <v>-793.90900470385338</v>
      </c>
      <c r="N50" s="156">
        <f t="shared" si="8"/>
        <v>-11881.149004703844</v>
      </c>
      <c r="O50" s="103">
        <v>0</v>
      </c>
      <c r="P50" s="103">
        <v>0</v>
      </c>
      <c r="Q50" s="103">
        <v>0</v>
      </c>
      <c r="R50" s="156">
        <f t="shared" si="9"/>
        <v>-11881.149004703844</v>
      </c>
    </row>
    <row r="51" spans="1:18" x14ac:dyDescent="0.2">
      <c r="A51" s="85">
        <v>8</v>
      </c>
      <c r="B51" s="149">
        <f t="shared" si="13"/>
        <v>45870</v>
      </c>
      <c r="C51" s="168">
        <f t="shared" si="14"/>
        <v>45904</v>
      </c>
      <c r="D51" s="168">
        <f t="shared" si="14"/>
        <v>45924</v>
      </c>
      <c r="E51" s="157" t="s">
        <v>81</v>
      </c>
      <c r="F51" s="85">
        <v>9</v>
      </c>
      <c r="G51" s="152">
        <v>149</v>
      </c>
      <c r="H51" s="153">
        <f t="shared" si="5"/>
        <v>3437.72</v>
      </c>
      <c r="I51" s="153">
        <f t="shared" si="1"/>
        <v>3361.78</v>
      </c>
      <c r="J51" s="103">
        <f t="shared" si="15"/>
        <v>500905.22000000003</v>
      </c>
      <c r="K51" s="154">
        <f t="shared" si="16"/>
        <v>512220.27999999997</v>
      </c>
      <c r="L51" s="155">
        <f t="shared" si="17"/>
        <v>-11315.059999999939</v>
      </c>
      <c r="M51" s="103">
        <f t="shared" si="7"/>
        <v>-810.22220343064498</v>
      </c>
      <c r="N51" s="156">
        <f t="shared" si="8"/>
        <v>-12125.282203430585</v>
      </c>
      <c r="O51" s="103">
        <v>0</v>
      </c>
      <c r="P51" s="103">
        <v>0</v>
      </c>
      <c r="Q51" s="103">
        <v>0</v>
      </c>
      <c r="R51" s="156">
        <f t="shared" si="9"/>
        <v>-12125.282203430585</v>
      </c>
    </row>
    <row r="52" spans="1:18" x14ac:dyDescent="0.2">
      <c r="A52" s="85">
        <v>9</v>
      </c>
      <c r="B52" s="149">
        <f t="shared" si="13"/>
        <v>45901</v>
      </c>
      <c r="C52" s="168">
        <f t="shared" si="14"/>
        <v>45933</v>
      </c>
      <c r="D52" s="168">
        <f t="shared" si="14"/>
        <v>45954</v>
      </c>
      <c r="E52" s="157" t="s">
        <v>81</v>
      </c>
      <c r="F52" s="85">
        <v>9</v>
      </c>
      <c r="G52" s="152">
        <v>122</v>
      </c>
      <c r="H52" s="153">
        <f t="shared" si="5"/>
        <v>3437.72</v>
      </c>
      <c r="I52" s="153">
        <f t="shared" si="1"/>
        <v>3361.78</v>
      </c>
      <c r="J52" s="103">
        <f t="shared" si="15"/>
        <v>410137.16000000003</v>
      </c>
      <c r="K52" s="154">
        <f t="shared" si="16"/>
        <v>419401.83999999997</v>
      </c>
      <c r="L52" s="155">
        <f t="shared" si="17"/>
        <v>-9264.6799999999348</v>
      </c>
      <c r="M52" s="103">
        <f t="shared" si="7"/>
        <v>-663.4034148895214</v>
      </c>
      <c r="N52" s="156">
        <f t="shared" si="8"/>
        <v>-9928.0834148894555</v>
      </c>
      <c r="O52" s="103">
        <v>0</v>
      </c>
      <c r="P52" s="103">
        <v>0</v>
      </c>
      <c r="Q52" s="103">
        <v>0</v>
      </c>
      <c r="R52" s="156">
        <f t="shared" si="9"/>
        <v>-9928.0834148894555</v>
      </c>
    </row>
    <row r="53" spans="1:18" x14ac:dyDescent="0.2">
      <c r="A53" s="85">
        <v>10</v>
      </c>
      <c r="B53" s="149">
        <f t="shared" si="13"/>
        <v>45931</v>
      </c>
      <c r="C53" s="168">
        <f t="shared" si="14"/>
        <v>45966</v>
      </c>
      <c r="D53" s="168">
        <f t="shared" si="14"/>
        <v>45985</v>
      </c>
      <c r="E53" s="157" t="s">
        <v>81</v>
      </c>
      <c r="F53" s="85">
        <v>9</v>
      </c>
      <c r="G53" s="152">
        <v>117</v>
      </c>
      <c r="H53" s="153">
        <f t="shared" si="5"/>
        <v>3437.72</v>
      </c>
      <c r="I53" s="153">
        <f t="shared" si="1"/>
        <v>3361.78</v>
      </c>
      <c r="J53" s="103">
        <f t="shared" si="15"/>
        <v>393328.26</v>
      </c>
      <c r="K53" s="154">
        <f t="shared" si="16"/>
        <v>402213.24</v>
      </c>
      <c r="L53" s="155">
        <f t="shared" si="17"/>
        <v>-8884.9799999999814</v>
      </c>
      <c r="M53" s="103">
        <f t="shared" si="7"/>
        <v>-636.21475034486889</v>
      </c>
      <c r="N53" s="156">
        <f t="shared" si="8"/>
        <v>-9521.19475034485</v>
      </c>
      <c r="O53" s="103">
        <v>0</v>
      </c>
      <c r="P53" s="103">
        <v>0</v>
      </c>
      <c r="Q53" s="103">
        <v>0</v>
      </c>
      <c r="R53" s="156">
        <f t="shared" si="9"/>
        <v>-9521.19475034485</v>
      </c>
    </row>
    <row r="54" spans="1:18" x14ac:dyDescent="0.2">
      <c r="A54" s="85">
        <v>11</v>
      </c>
      <c r="B54" s="149">
        <f t="shared" si="13"/>
        <v>45962</v>
      </c>
      <c r="C54" s="168">
        <f t="shared" si="14"/>
        <v>45994</v>
      </c>
      <c r="D54" s="168">
        <f t="shared" si="14"/>
        <v>46015</v>
      </c>
      <c r="E54" s="157" t="s">
        <v>81</v>
      </c>
      <c r="F54" s="85">
        <v>9</v>
      </c>
      <c r="G54" s="152">
        <v>118</v>
      </c>
      <c r="H54" s="153">
        <f t="shared" si="5"/>
        <v>3437.72</v>
      </c>
      <c r="I54" s="153">
        <f t="shared" si="1"/>
        <v>3361.78</v>
      </c>
      <c r="J54" s="103">
        <f t="shared" si="15"/>
        <v>396690.04000000004</v>
      </c>
      <c r="K54" s="154">
        <f t="shared" si="16"/>
        <v>405650.95999999996</v>
      </c>
      <c r="L54" s="155">
        <f t="shared" si="17"/>
        <v>-8960.9199999999255</v>
      </c>
      <c r="M54" s="103">
        <f t="shared" si="7"/>
        <v>-641.65248325379946</v>
      </c>
      <c r="N54" s="156">
        <f t="shared" si="8"/>
        <v>-9602.5724832537253</v>
      </c>
      <c r="O54" s="103">
        <v>0</v>
      </c>
      <c r="P54" s="103">
        <v>0</v>
      </c>
      <c r="Q54" s="103">
        <v>0</v>
      </c>
      <c r="R54" s="156">
        <f t="shared" si="9"/>
        <v>-9602.5724832537253</v>
      </c>
    </row>
    <row r="55" spans="1:18" x14ac:dyDescent="0.2">
      <c r="A55" s="85">
        <v>12</v>
      </c>
      <c r="B55" s="149">
        <f t="shared" si="13"/>
        <v>45992</v>
      </c>
      <c r="C55" s="168">
        <f t="shared" si="14"/>
        <v>46028</v>
      </c>
      <c r="D55" s="168">
        <f t="shared" si="14"/>
        <v>46048</v>
      </c>
      <c r="E55" s="157" t="s">
        <v>81</v>
      </c>
      <c r="F55" s="85">
        <v>9</v>
      </c>
      <c r="G55" s="160">
        <v>178</v>
      </c>
      <c r="H55" s="161">
        <f t="shared" si="5"/>
        <v>3437.72</v>
      </c>
      <c r="I55" s="161">
        <f t="shared" si="1"/>
        <v>3361.78</v>
      </c>
      <c r="J55" s="162">
        <f t="shared" si="15"/>
        <v>598396.84000000008</v>
      </c>
      <c r="K55" s="163">
        <f t="shared" si="16"/>
        <v>611914.15999999992</v>
      </c>
      <c r="L55" s="164">
        <f t="shared" si="17"/>
        <v>-13517.319999999832</v>
      </c>
      <c r="M55" s="162">
        <f t="shared" si="7"/>
        <v>-967.91645778962948</v>
      </c>
      <c r="N55" s="208">
        <f t="shared" si="8"/>
        <v>-14485.236457789462</v>
      </c>
      <c r="O55" s="162">
        <v>0</v>
      </c>
      <c r="P55" s="162">
        <v>0</v>
      </c>
      <c r="Q55" s="162">
        <v>0</v>
      </c>
      <c r="R55" s="208">
        <f t="shared" si="9"/>
        <v>-14485.236457789462</v>
      </c>
    </row>
    <row r="56" spans="1:18" s="169" customFormat="1" x14ac:dyDescent="0.2">
      <c r="A56" s="85">
        <v>1</v>
      </c>
      <c r="B56" s="165">
        <f t="shared" si="4"/>
        <v>45658</v>
      </c>
      <c r="C56" s="166">
        <f t="shared" ref="C56:D67" si="18">+C32</f>
        <v>45693</v>
      </c>
      <c r="D56" s="166">
        <f t="shared" si="18"/>
        <v>45712</v>
      </c>
      <c r="E56" s="167" t="s">
        <v>14</v>
      </c>
      <c r="F56" s="182">
        <v>9</v>
      </c>
      <c r="G56" s="152">
        <v>966</v>
      </c>
      <c r="H56" s="153">
        <f t="shared" si="5"/>
        <v>3437.72</v>
      </c>
      <c r="I56" s="153">
        <f t="shared" si="1"/>
        <v>3361.78</v>
      </c>
      <c r="J56" s="103">
        <f t="shared" si="2"/>
        <v>3247479.48</v>
      </c>
      <c r="K56" s="154">
        <f t="shared" si="11"/>
        <v>3320837.52</v>
      </c>
      <c r="L56" s="155">
        <f t="shared" si="12"/>
        <v>-73358.040000000037</v>
      </c>
      <c r="M56" s="103">
        <f t="shared" si="7"/>
        <v>-5252.8499900268662</v>
      </c>
      <c r="N56" s="156">
        <f t="shared" si="8"/>
        <v>-78610.889990026903</v>
      </c>
      <c r="O56" s="103">
        <v>0</v>
      </c>
      <c r="P56" s="103">
        <v>0</v>
      </c>
      <c r="Q56" s="103">
        <v>0</v>
      </c>
      <c r="R56" s="156">
        <f t="shared" si="9"/>
        <v>-78610.889990026903</v>
      </c>
    </row>
    <row r="57" spans="1:18" x14ac:dyDescent="0.2">
      <c r="A57" s="85">
        <v>2</v>
      </c>
      <c r="B57" s="149">
        <f t="shared" si="4"/>
        <v>45689</v>
      </c>
      <c r="C57" s="168">
        <f t="shared" si="18"/>
        <v>45721</v>
      </c>
      <c r="D57" s="168">
        <f t="shared" si="18"/>
        <v>45740</v>
      </c>
      <c r="E57" s="157" t="s">
        <v>14</v>
      </c>
      <c r="F57" s="85">
        <v>9</v>
      </c>
      <c r="G57" s="152">
        <v>1102</v>
      </c>
      <c r="H57" s="153">
        <f t="shared" si="5"/>
        <v>3437.72</v>
      </c>
      <c r="I57" s="153">
        <f t="shared" si="1"/>
        <v>3361.78</v>
      </c>
      <c r="J57" s="103">
        <f t="shared" si="2"/>
        <v>3704681.56</v>
      </c>
      <c r="K57" s="154">
        <f t="shared" si="11"/>
        <v>3788367.44</v>
      </c>
      <c r="L57" s="155">
        <f t="shared" si="12"/>
        <v>-83685.879999999888</v>
      </c>
      <c r="M57" s="103">
        <f t="shared" si="7"/>
        <v>-5992.3816656414137</v>
      </c>
      <c r="N57" s="156">
        <f t="shared" si="8"/>
        <v>-89678.261665641301</v>
      </c>
      <c r="O57" s="103">
        <v>0</v>
      </c>
      <c r="P57" s="103">
        <v>0</v>
      </c>
      <c r="Q57" s="103">
        <v>0</v>
      </c>
      <c r="R57" s="156">
        <f t="shared" si="9"/>
        <v>-89678.261665641301</v>
      </c>
    </row>
    <row r="58" spans="1:18" x14ac:dyDescent="0.2">
      <c r="A58" s="85">
        <v>3</v>
      </c>
      <c r="B58" s="149">
        <f t="shared" si="4"/>
        <v>45717</v>
      </c>
      <c r="C58" s="168">
        <f t="shared" si="18"/>
        <v>45750</v>
      </c>
      <c r="D58" s="168">
        <f t="shared" si="18"/>
        <v>45771</v>
      </c>
      <c r="E58" s="157" t="s">
        <v>14</v>
      </c>
      <c r="F58" s="85">
        <v>9</v>
      </c>
      <c r="G58" s="152">
        <v>715</v>
      </c>
      <c r="H58" s="153">
        <f t="shared" si="5"/>
        <v>3437.72</v>
      </c>
      <c r="I58" s="153">
        <f t="shared" si="1"/>
        <v>3361.78</v>
      </c>
      <c r="J58" s="103">
        <f t="shared" si="2"/>
        <v>2403672.7000000002</v>
      </c>
      <c r="K58" s="154">
        <f t="shared" si="11"/>
        <v>2457969.7999999998</v>
      </c>
      <c r="L58" s="155">
        <f>+J58-K58</f>
        <v>-54297.099999999627</v>
      </c>
      <c r="M58" s="103">
        <f t="shared" si="7"/>
        <v>-3887.9790298853095</v>
      </c>
      <c r="N58" s="156">
        <f t="shared" si="8"/>
        <v>-58185.079029884939</v>
      </c>
      <c r="O58" s="103">
        <v>0</v>
      </c>
      <c r="P58" s="103">
        <v>0</v>
      </c>
      <c r="Q58" s="103">
        <v>0</v>
      </c>
      <c r="R58" s="156">
        <f t="shared" si="9"/>
        <v>-58185.079029884939</v>
      </c>
    </row>
    <row r="59" spans="1:18" x14ac:dyDescent="0.2">
      <c r="A59" s="85">
        <v>4</v>
      </c>
      <c r="B59" s="149">
        <f t="shared" si="4"/>
        <v>45748</v>
      </c>
      <c r="C59" s="168">
        <f t="shared" si="18"/>
        <v>45782</v>
      </c>
      <c r="D59" s="168">
        <f t="shared" si="18"/>
        <v>45803</v>
      </c>
      <c r="E59" s="157" t="s">
        <v>14</v>
      </c>
      <c r="F59" s="85">
        <v>9</v>
      </c>
      <c r="G59" s="152">
        <v>581</v>
      </c>
      <c r="H59" s="153">
        <f t="shared" si="5"/>
        <v>3437.72</v>
      </c>
      <c r="I59" s="153">
        <f t="shared" si="1"/>
        <v>3361.78</v>
      </c>
      <c r="J59" s="103">
        <f t="shared" si="2"/>
        <v>1953194.1800000002</v>
      </c>
      <c r="K59" s="154">
        <f t="shared" si="11"/>
        <v>1997315.3199999998</v>
      </c>
      <c r="L59" s="155">
        <f t="shared" ref="L59:L81" si="19">+J59-K59</f>
        <v>-44121.139999999665</v>
      </c>
      <c r="M59" s="103">
        <f t="shared" si="7"/>
        <v>-3159.3228200886224</v>
      </c>
      <c r="N59" s="156">
        <f t="shared" si="8"/>
        <v>-47280.462820088287</v>
      </c>
      <c r="O59" s="103">
        <v>0</v>
      </c>
      <c r="P59" s="103">
        <v>0</v>
      </c>
      <c r="Q59" s="103">
        <v>0</v>
      </c>
      <c r="R59" s="156">
        <f t="shared" si="9"/>
        <v>-47280.462820088287</v>
      </c>
    </row>
    <row r="60" spans="1:18" x14ac:dyDescent="0.2">
      <c r="A60" s="85">
        <v>5</v>
      </c>
      <c r="B60" s="149">
        <f t="shared" si="4"/>
        <v>45778</v>
      </c>
      <c r="C60" s="168">
        <f t="shared" si="18"/>
        <v>45812</v>
      </c>
      <c r="D60" s="168">
        <f t="shared" si="18"/>
        <v>45832</v>
      </c>
      <c r="E60" s="1" t="s">
        <v>14</v>
      </c>
      <c r="F60" s="85">
        <v>9</v>
      </c>
      <c r="G60" s="152">
        <v>781</v>
      </c>
      <c r="H60" s="153">
        <f t="shared" si="5"/>
        <v>3437.72</v>
      </c>
      <c r="I60" s="153">
        <f t="shared" si="1"/>
        <v>3361.78</v>
      </c>
      <c r="J60" s="103">
        <f t="shared" si="2"/>
        <v>2625550.1800000002</v>
      </c>
      <c r="K60" s="154">
        <f t="shared" si="11"/>
        <v>2684859.32</v>
      </c>
      <c r="L60" s="155">
        <f t="shared" si="19"/>
        <v>-59309.139999999665</v>
      </c>
      <c r="M60" s="103">
        <f t="shared" si="7"/>
        <v>-4246.8694018747228</v>
      </c>
      <c r="N60" s="156">
        <f t="shared" si="8"/>
        <v>-63556.009401874384</v>
      </c>
      <c r="O60" s="103">
        <v>0</v>
      </c>
      <c r="P60" s="103">
        <v>0</v>
      </c>
      <c r="Q60" s="103">
        <v>0</v>
      </c>
      <c r="R60" s="156">
        <f t="shared" si="9"/>
        <v>-63556.009401874384</v>
      </c>
    </row>
    <row r="61" spans="1:18" x14ac:dyDescent="0.2">
      <c r="A61" s="85">
        <v>6</v>
      </c>
      <c r="B61" s="149">
        <f t="shared" si="4"/>
        <v>45809</v>
      </c>
      <c r="C61" s="168">
        <f t="shared" si="18"/>
        <v>45841</v>
      </c>
      <c r="D61" s="168">
        <f t="shared" si="18"/>
        <v>45862</v>
      </c>
      <c r="E61" s="1" t="s">
        <v>14</v>
      </c>
      <c r="F61" s="85">
        <v>9</v>
      </c>
      <c r="G61" s="152">
        <v>896</v>
      </c>
      <c r="H61" s="153">
        <f t="shared" si="5"/>
        <v>3437.72</v>
      </c>
      <c r="I61" s="153">
        <f t="shared" si="1"/>
        <v>3361.78</v>
      </c>
      <c r="J61" s="103">
        <f t="shared" si="2"/>
        <v>3012154.8800000004</v>
      </c>
      <c r="K61" s="154">
        <f t="shared" si="11"/>
        <v>3080197.1199999996</v>
      </c>
      <c r="L61" s="155">
        <f t="shared" si="19"/>
        <v>-68042.239999999292</v>
      </c>
      <c r="M61" s="103">
        <f t="shared" si="7"/>
        <v>-4872.2086864017301</v>
      </c>
      <c r="N61" s="156">
        <f t="shared" si="8"/>
        <v>-72914.448686401025</v>
      </c>
      <c r="O61" s="103">
        <v>0</v>
      </c>
      <c r="P61" s="103">
        <v>0</v>
      </c>
      <c r="Q61" s="103">
        <v>0</v>
      </c>
      <c r="R61" s="156">
        <f t="shared" si="9"/>
        <v>-72914.448686401025</v>
      </c>
    </row>
    <row r="62" spans="1:18" x14ac:dyDescent="0.2">
      <c r="A62" s="85">
        <v>7</v>
      </c>
      <c r="B62" s="149">
        <f t="shared" si="4"/>
        <v>45839</v>
      </c>
      <c r="C62" s="168">
        <f t="shared" si="18"/>
        <v>45874</v>
      </c>
      <c r="D62" s="168">
        <f t="shared" si="18"/>
        <v>45894</v>
      </c>
      <c r="E62" s="1" t="s">
        <v>14</v>
      </c>
      <c r="F62" s="85">
        <v>9</v>
      </c>
      <c r="G62" s="152">
        <v>1028</v>
      </c>
      <c r="H62" s="153">
        <f t="shared" si="5"/>
        <v>3437.72</v>
      </c>
      <c r="I62" s="153">
        <f t="shared" si="1"/>
        <v>3361.78</v>
      </c>
      <c r="J62" s="103">
        <f t="shared" si="2"/>
        <v>3455909.8400000003</v>
      </c>
      <c r="K62" s="154">
        <f t="shared" si="11"/>
        <v>3533976.1599999997</v>
      </c>
      <c r="L62" s="155">
        <f t="shared" si="19"/>
        <v>-78066.319999999367</v>
      </c>
      <c r="M62" s="103">
        <f t="shared" si="7"/>
        <v>-5589.9894303805577</v>
      </c>
      <c r="N62" s="156">
        <f t="shared" si="8"/>
        <v>-83656.30943037993</v>
      </c>
      <c r="O62" s="103">
        <v>0</v>
      </c>
      <c r="P62" s="103">
        <v>0</v>
      </c>
      <c r="Q62" s="103">
        <v>0</v>
      </c>
      <c r="R62" s="156">
        <f t="shared" si="9"/>
        <v>-83656.30943037993</v>
      </c>
    </row>
    <row r="63" spans="1:18" x14ac:dyDescent="0.2">
      <c r="A63" s="85">
        <v>8</v>
      </c>
      <c r="B63" s="149">
        <f t="shared" si="4"/>
        <v>45870</v>
      </c>
      <c r="C63" s="168">
        <f t="shared" si="18"/>
        <v>45904</v>
      </c>
      <c r="D63" s="168">
        <f t="shared" si="18"/>
        <v>45924</v>
      </c>
      <c r="E63" s="1" t="s">
        <v>14</v>
      </c>
      <c r="F63" s="85">
        <v>9</v>
      </c>
      <c r="G63" s="152">
        <v>1055</v>
      </c>
      <c r="H63" s="153">
        <f t="shared" si="5"/>
        <v>3437.72</v>
      </c>
      <c r="I63" s="153">
        <f t="shared" si="1"/>
        <v>3361.78</v>
      </c>
      <c r="J63" s="103">
        <f t="shared" si="2"/>
        <v>3546677.9000000004</v>
      </c>
      <c r="K63" s="154">
        <f t="shared" si="11"/>
        <v>3626794.5999999996</v>
      </c>
      <c r="L63" s="155">
        <f t="shared" si="19"/>
        <v>-80116.699999999255</v>
      </c>
      <c r="M63" s="103">
        <f t="shared" si="7"/>
        <v>-5736.8082189216811</v>
      </c>
      <c r="N63" s="156">
        <f t="shared" si="8"/>
        <v>-85853.508218920935</v>
      </c>
      <c r="O63" s="103">
        <v>0</v>
      </c>
      <c r="P63" s="103">
        <v>0</v>
      </c>
      <c r="Q63" s="103">
        <v>0</v>
      </c>
      <c r="R63" s="156">
        <f t="shared" si="9"/>
        <v>-85853.508218920935</v>
      </c>
    </row>
    <row r="64" spans="1:18" x14ac:dyDescent="0.2">
      <c r="A64" s="85">
        <v>9</v>
      </c>
      <c r="B64" s="149">
        <f t="shared" si="4"/>
        <v>45901</v>
      </c>
      <c r="C64" s="168">
        <f t="shared" si="18"/>
        <v>45933</v>
      </c>
      <c r="D64" s="168">
        <f t="shared" si="18"/>
        <v>45954</v>
      </c>
      <c r="E64" s="1" t="s">
        <v>14</v>
      </c>
      <c r="F64" s="85">
        <v>9</v>
      </c>
      <c r="G64" s="152">
        <v>815</v>
      </c>
      <c r="H64" s="153">
        <f t="shared" si="5"/>
        <v>3437.72</v>
      </c>
      <c r="I64" s="153">
        <f t="shared" ref="I64:I107" si="20">$J$3</f>
        <v>3361.78</v>
      </c>
      <c r="J64" s="103">
        <f t="shared" si="2"/>
        <v>2739850.7</v>
      </c>
      <c r="K64" s="154">
        <f t="shared" si="11"/>
        <v>2801741.8</v>
      </c>
      <c r="L64" s="155">
        <f t="shared" si="19"/>
        <v>-61891.099999999627</v>
      </c>
      <c r="M64" s="103">
        <f t="shared" si="7"/>
        <v>-4431.7523207783597</v>
      </c>
      <c r="N64" s="156">
        <f t="shared" si="8"/>
        <v>-66322.85232077798</v>
      </c>
      <c r="O64" s="103">
        <v>0</v>
      </c>
      <c r="P64" s="103">
        <v>0</v>
      </c>
      <c r="Q64" s="103">
        <v>0</v>
      </c>
      <c r="R64" s="156">
        <f t="shared" si="9"/>
        <v>-66322.85232077798</v>
      </c>
    </row>
    <row r="65" spans="1:18" x14ac:dyDescent="0.2">
      <c r="A65" s="85">
        <v>10</v>
      </c>
      <c r="B65" s="149">
        <f t="shared" si="4"/>
        <v>45931</v>
      </c>
      <c r="C65" s="168">
        <f t="shared" si="18"/>
        <v>45966</v>
      </c>
      <c r="D65" s="168">
        <f t="shared" si="18"/>
        <v>45985</v>
      </c>
      <c r="E65" s="1" t="s">
        <v>14</v>
      </c>
      <c r="F65" s="85">
        <v>9</v>
      </c>
      <c r="G65" s="152">
        <v>738</v>
      </c>
      <c r="H65" s="153">
        <f t="shared" si="5"/>
        <v>3437.72</v>
      </c>
      <c r="I65" s="153">
        <f t="shared" si="20"/>
        <v>3361.78</v>
      </c>
      <c r="J65" s="103">
        <f t="shared" si="2"/>
        <v>2480993.64</v>
      </c>
      <c r="K65" s="154">
        <f t="shared" si="11"/>
        <v>2537037.36</v>
      </c>
      <c r="L65" s="155">
        <f t="shared" si="19"/>
        <v>-56043.719999999739</v>
      </c>
      <c r="M65" s="103">
        <f t="shared" si="7"/>
        <v>-4013.0468867907111</v>
      </c>
      <c r="N65" s="156">
        <f t="shared" si="8"/>
        <v>-60056.76688679045</v>
      </c>
      <c r="O65" s="103">
        <v>0</v>
      </c>
      <c r="P65" s="103">
        <v>0</v>
      </c>
      <c r="Q65" s="103">
        <v>0</v>
      </c>
      <c r="R65" s="156">
        <f t="shared" si="9"/>
        <v>-60056.76688679045</v>
      </c>
    </row>
    <row r="66" spans="1:18" x14ac:dyDescent="0.2">
      <c r="A66" s="85">
        <v>11</v>
      </c>
      <c r="B66" s="149">
        <f t="shared" si="4"/>
        <v>45962</v>
      </c>
      <c r="C66" s="168">
        <f t="shared" si="18"/>
        <v>45994</v>
      </c>
      <c r="D66" s="168">
        <f t="shared" si="18"/>
        <v>46015</v>
      </c>
      <c r="E66" s="1" t="s">
        <v>14</v>
      </c>
      <c r="F66" s="85">
        <v>9</v>
      </c>
      <c r="G66" s="152">
        <v>706</v>
      </c>
      <c r="H66" s="153">
        <f t="shared" si="5"/>
        <v>3437.72</v>
      </c>
      <c r="I66" s="153">
        <f t="shared" si="20"/>
        <v>3361.78</v>
      </c>
      <c r="J66" s="103">
        <f t="shared" si="2"/>
        <v>2373416.6800000002</v>
      </c>
      <c r="K66" s="154">
        <f t="shared" si="11"/>
        <v>2427030.3199999998</v>
      </c>
      <c r="L66" s="155">
        <f t="shared" si="19"/>
        <v>-53613.639999999665</v>
      </c>
      <c r="M66" s="103">
        <f t="shared" si="7"/>
        <v>-3839.0394337049352</v>
      </c>
      <c r="N66" s="156">
        <f t="shared" si="8"/>
        <v>-57452.679433704601</v>
      </c>
      <c r="O66" s="103">
        <v>0</v>
      </c>
      <c r="P66" s="103">
        <v>0</v>
      </c>
      <c r="Q66" s="103">
        <v>0</v>
      </c>
      <c r="R66" s="156">
        <f t="shared" si="9"/>
        <v>-57452.679433704601</v>
      </c>
    </row>
    <row r="67" spans="1:18" s="172" customFormat="1" x14ac:dyDescent="0.2">
      <c r="A67" s="85">
        <v>12</v>
      </c>
      <c r="B67" s="170">
        <f t="shared" si="4"/>
        <v>45992</v>
      </c>
      <c r="C67" s="168">
        <f t="shared" si="18"/>
        <v>46028</v>
      </c>
      <c r="D67" s="168">
        <f t="shared" si="18"/>
        <v>46048</v>
      </c>
      <c r="E67" s="171" t="s">
        <v>14</v>
      </c>
      <c r="F67" s="126">
        <v>9</v>
      </c>
      <c r="G67" s="160">
        <v>863</v>
      </c>
      <c r="H67" s="161">
        <f t="shared" si="5"/>
        <v>3437.72</v>
      </c>
      <c r="I67" s="161">
        <f t="shared" si="20"/>
        <v>3361.78</v>
      </c>
      <c r="J67" s="162">
        <f t="shared" si="2"/>
        <v>2901216.14</v>
      </c>
      <c r="K67" s="163">
        <f t="shared" si="11"/>
        <v>2966752.36</v>
      </c>
      <c r="L67" s="164">
        <f t="shared" si="19"/>
        <v>-65536.219999999739</v>
      </c>
      <c r="M67" s="162">
        <f t="shared" si="7"/>
        <v>-4692.7635004070235</v>
      </c>
      <c r="N67" s="208">
        <f t="shared" si="8"/>
        <v>-70228.983500406757</v>
      </c>
      <c r="O67" s="162">
        <v>0</v>
      </c>
      <c r="P67" s="162">
        <v>0</v>
      </c>
      <c r="Q67" s="162">
        <v>0</v>
      </c>
      <c r="R67" s="208">
        <f t="shared" si="9"/>
        <v>-70228.983500406757</v>
      </c>
    </row>
    <row r="68" spans="1:18" x14ac:dyDescent="0.2">
      <c r="A68" s="85">
        <v>1</v>
      </c>
      <c r="B68" s="149">
        <f t="shared" si="4"/>
        <v>45658</v>
      </c>
      <c r="C68" s="166">
        <f t="shared" ref="C68:D79" si="21">+C56</f>
        <v>45693</v>
      </c>
      <c r="D68" s="166">
        <f t="shared" si="21"/>
        <v>45712</v>
      </c>
      <c r="E68" s="151" t="s">
        <v>83</v>
      </c>
      <c r="F68" s="85">
        <v>9</v>
      </c>
      <c r="G68" s="152">
        <v>47</v>
      </c>
      <c r="H68" s="153">
        <f t="shared" si="5"/>
        <v>3437.72</v>
      </c>
      <c r="I68" s="153">
        <f t="shared" si="20"/>
        <v>3361.78</v>
      </c>
      <c r="J68" s="103">
        <f t="shared" si="2"/>
        <v>158003.66</v>
      </c>
      <c r="K68" s="154">
        <f t="shared" si="11"/>
        <v>161572.84</v>
      </c>
      <c r="L68" s="155">
        <f t="shared" si="19"/>
        <v>-3569.179999999993</v>
      </c>
      <c r="M68" s="103">
        <f t="shared" si="7"/>
        <v>-255.57344671973365</v>
      </c>
      <c r="N68" s="156">
        <f t="shared" si="8"/>
        <v>-3824.7534467197265</v>
      </c>
      <c r="O68" s="103">
        <v>0</v>
      </c>
      <c r="P68" s="103">
        <v>0</v>
      </c>
      <c r="Q68" s="103">
        <v>0</v>
      </c>
      <c r="R68" s="156">
        <f t="shared" si="9"/>
        <v>-3824.7534467197265</v>
      </c>
    </row>
    <row r="69" spans="1:18" x14ac:dyDescent="0.2">
      <c r="A69" s="85">
        <v>2</v>
      </c>
      <c r="B69" s="149">
        <f t="shared" si="4"/>
        <v>45689</v>
      </c>
      <c r="C69" s="168">
        <f t="shared" si="21"/>
        <v>45721</v>
      </c>
      <c r="D69" s="168">
        <f t="shared" si="21"/>
        <v>45740</v>
      </c>
      <c r="E69" s="157" t="s">
        <v>83</v>
      </c>
      <c r="F69" s="85">
        <v>9</v>
      </c>
      <c r="G69" s="152">
        <v>57</v>
      </c>
      <c r="H69" s="153">
        <f t="shared" si="5"/>
        <v>3437.72</v>
      </c>
      <c r="I69" s="153">
        <f t="shared" si="20"/>
        <v>3361.78</v>
      </c>
      <c r="J69" s="103">
        <f t="shared" si="2"/>
        <v>191621.46000000002</v>
      </c>
      <c r="K69" s="154">
        <f t="shared" si="11"/>
        <v>195950.03999999998</v>
      </c>
      <c r="L69" s="155">
        <f t="shared" si="19"/>
        <v>-4328.5799999999581</v>
      </c>
      <c r="M69" s="103">
        <f t="shared" si="7"/>
        <v>-309.95077580903865</v>
      </c>
      <c r="N69" s="156">
        <f t="shared" si="8"/>
        <v>-4638.5307758089966</v>
      </c>
      <c r="O69" s="103">
        <v>0</v>
      </c>
      <c r="P69" s="103">
        <v>0</v>
      </c>
      <c r="Q69" s="103">
        <v>0</v>
      </c>
      <c r="R69" s="156">
        <f t="shared" si="9"/>
        <v>-4638.5307758089966</v>
      </c>
    </row>
    <row r="70" spans="1:18" x14ac:dyDescent="0.2">
      <c r="A70" s="85">
        <v>3</v>
      </c>
      <c r="B70" s="149">
        <f t="shared" si="4"/>
        <v>45717</v>
      </c>
      <c r="C70" s="168">
        <f t="shared" si="21"/>
        <v>45750</v>
      </c>
      <c r="D70" s="168">
        <f t="shared" si="21"/>
        <v>45771</v>
      </c>
      <c r="E70" s="157" t="s">
        <v>83</v>
      </c>
      <c r="F70" s="85">
        <v>9</v>
      </c>
      <c r="G70" s="152">
        <v>34</v>
      </c>
      <c r="H70" s="153">
        <f t="shared" si="5"/>
        <v>3437.72</v>
      </c>
      <c r="I70" s="153">
        <f t="shared" si="20"/>
        <v>3361.78</v>
      </c>
      <c r="J70" s="103">
        <f t="shared" si="2"/>
        <v>114300.52</v>
      </c>
      <c r="K70" s="154">
        <f t="shared" si="11"/>
        <v>116882.48</v>
      </c>
      <c r="L70" s="155">
        <f>+J70-K70</f>
        <v>-2581.9599999999919</v>
      </c>
      <c r="M70" s="103">
        <f t="shared" si="7"/>
        <v>-184.88291890363709</v>
      </c>
      <c r="N70" s="156">
        <f t="shared" si="8"/>
        <v>-2766.8429189036287</v>
      </c>
      <c r="O70" s="103">
        <v>0</v>
      </c>
      <c r="P70" s="103">
        <v>0</v>
      </c>
      <c r="Q70" s="103">
        <v>0</v>
      </c>
      <c r="R70" s="156">
        <f t="shared" si="9"/>
        <v>-2766.8429189036287</v>
      </c>
    </row>
    <row r="71" spans="1:18" x14ac:dyDescent="0.2">
      <c r="A71" s="85">
        <v>4</v>
      </c>
      <c r="B71" s="149">
        <f t="shared" si="4"/>
        <v>45748</v>
      </c>
      <c r="C71" s="168">
        <f t="shared" si="21"/>
        <v>45782</v>
      </c>
      <c r="D71" s="168">
        <f t="shared" si="21"/>
        <v>45803</v>
      </c>
      <c r="E71" s="157" t="s">
        <v>83</v>
      </c>
      <c r="F71" s="85">
        <v>9</v>
      </c>
      <c r="G71" s="152">
        <v>27</v>
      </c>
      <c r="H71" s="153">
        <f t="shared" si="5"/>
        <v>3437.72</v>
      </c>
      <c r="I71" s="153">
        <f t="shared" si="20"/>
        <v>3361.78</v>
      </c>
      <c r="J71" s="103">
        <f t="shared" si="2"/>
        <v>90768.060000000012</v>
      </c>
      <c r="K71" s="154">
        <f t="shared" si="11"/>
        <v>92818.439999999988</v>
      </c>
      <c r="L71" s="155">
        <f t="shared" ref="L71:L79" si="22">+J71-K71</f>
        <v>-2050.3799999999756</v>
      </c>
      <c r="M71" s="103">
        <f t="shared" si="7"/>
        <v>-146.81878854112358</v>
      </c>
      <c r="N71" s="156">
        <f t="shared" si="8"/>
        <v>-2197.198788541099</v>
      </c>
      <c r="O71" s="103">
        <v>0</v>
      </c>
      <c r="P71" s="103">
        <v>0</v>
      </c>
      <c r="Q71" s="103">
        <v>0</v>
      </c>
      <c r="R71" s="156">
        <f t="shared" si="9"/>
        <v>-2197.198788541099</v>
      </c>
    </row>
    <row r="72" spans="1:18" x14ac:dyDescent="0.2">
      <c r="A72" s="85">
        <v>5</v>
      </c>
      <c r="B72" s="149">
        <f t="shared" si="4"/>
        <v>45778</v>
      </c>
      <c r="C72" s="168">
        <f t="shared" si="21"/>
        <v>45812</v>
      </c>
      <c r="D72" s="168">
        <f t="shared" si="21"/>
        <v>45832</v>
      </c>
      <c r="E72" s="157" t="s">
        <v>83</v>
      </c>
      <c r="F72" s="85">
        <v>9</v>
      </c>
      <c r="G72" s="152">
        <v>40</v>
      </c>
      <c r="H72" s="153">
        <f t="shared" si="5"/>
        <v>3437.72</v>
      </c>
      <c r="I72" s="153">
        <f t="shared" si="20"/>
        <v>3361.78</v>
      </c>
      <c r="J72" s="103">
        <f t="shared" si="2"/>
        <v>134471.20000000001</v>
      </c>
      <c r="K72" s="154">
        <f t="shared" si="11"/>
        <v>137508.79999999999</v>
      </c>
      <c r="L72" s="155">
        <f t="shared" si="22"/>
        <v>-3037.5999999999767</v>
      </c>
      <c r="M72" s="103">
        <f t="shared" si="7"/>
        <v>-217.50931635722011</v>
      </c>
      <c r="N72" s="156">
        <f t="shared" si="8"/>
        <v>-3255.1093163571968</v>
      </c>
      <c r="O72" s="103">
        <v>0</v>
      </c>
      <c r="P72" s="103">
        <v>0</v>
      </c>
      <c r="Q72" s="103">
        <v>0</v>
      </c>
      <c r="R72" s="156">
        <f t="shared" si="9"/>
        <v>-3255.1093163571968</v>
      </c>
    </row>
    <row r="73" spans="1:18" x14ac:dyDescent="0.2">
      <c r="A73" s="85">
        <v>6</v>
      </c>
      <c r="B73" s="149">
        <f t="shared" si="4"/>
        <v>45809</v>
      </c>
      <c r="C73" s="168">
        <f t="shared" si="21"/>
        <v>45841</v>
      </c>
      <c r="D73" s="168">
        <f t="shared" si="21"/>
        <v>45862</v>
      </c>
      <c r="E73" s="157" t="s">
        <v>83</v>
      </c>
      <c r="F73" s="85">
        <v>9</v>
      </c>
      <c r="G73" s="152">
        <v>46</v>
      </c>
      <c r="H73" s="153">
        <f t="shared" si="5"/>
        <v>3437.72</v>
      </c>
      <c r="I73" s="153">
        <f t="shared" si="20"/>
        <v>3361.78</v>
      </c>
      <c r="J73" s="103">
        <f t="shared" si="2"/>
        <v>154641.88</v>
      </c>
      <c r="K73" s="154">
        <f t="shared" si="11"/>
        <v>158135.12</v>
      </c>
      <c r="L73" s="155">
        <f t="shared" si="22"/>
        <v>-3493.2399999999907</v>
      </c>
      <c r="M73" s="103">
        <f t="shared" si="7"/>
        <v>-250.13571381080314</v>
      </c>
      <c r="N73" s="156">
        <f t="shared" si="8"/>
        <v>-3743.375713810794</v>
      </c>
      <c r="O73" s="103">
        <v>0</v>
      </c>
      <c r="P73" s="103">
        <v>0</v>
      </c>
      <c r="Q73" s="103">
        <v>0</v>
      </c>
      <c r="R73" s="156">
        <f t="shared" si="9"/>
        <v>-3743.375713810794</v>
      </c>
    </row>
    <row r="74" spans="1:18" x14ac:dyDescent="0.2">
      <c r="A74" s="85">
        <v>7</v>
      </c>
      <c r="B74" s="149">
        <f t="shared" si="4"/>
        <v>45839</v>
      </c>
      <c r="C74" s="168">
        <f t="shared" si="21"/>
        <v>45874</v>
      </c>
      <c r="D74" s="168">
        <f t="shared" si="21"/>
        <v>45894</v>
      </c>
      <c r="E74" s="157" t="s">
        <v>83</v>
      </c>
      <c r="F74" s="85">
        <v>9</v>
      </c>
      <c r="G74" s="152">
        <v>55</v>
      </c>
      <c r="H74" s="153">
        <f t="shared" si="5"/>
        <v>3437.72</v>
      </c>
      <c r="I74" s="153">
        <f t="shared" si="20"/>
        <v>3361.78</v>
      </c>
      <c r="J74" s="103">
        <f t="shared" si="2"/>
        <v>184897.90000000002</v>
      </c>
      <c r="K74" s="154">
        <f t="shared" si="11"/>
        <v>189074.59999999998</v>
      </c>
      <c r="L74" s="155">
        <f t="shared" si="22"/>
        <v>-4176.6999999999534</v>
      </c>
      <c r="M74" s="103">
        <f t="shared" si="7"/>
        <v>-299.07530999117768</v>
      </c>
      <c r="N74" s="156">
        <f t="shared" si="8"/>
        <v>-4475.7753099911315</v>
      </c>
      <c r="O74" s="103">
        <v>0</v>
      </c>
      <c r="P74" s="103">
        <v>0</v>
      </c>
      <c r="Q74" s="103">
        <v>0</v>
      </c>
      <c r="R74" s="156">
        <f t="shared" si="9"/>
        <v>-4475.7753099911315</v>
      </c>
    </row>
    <row r="75" spans="1:18" x14ac:dyDescent="0.2">
      <c r="A75" s="85">
        <v>8</v>
      </c>
      <c r="B75" s="149">
        <f t="shared" si="4"/>
        <v>45870</v>
      </c>
      <c r="C75" s="168">
        <f t="shared" si="21"/>
        <v>45904</v>
      </c>
      <c r="D75" s="168">
        <f t="shared" si="21"/>
        <v>45924</v>
      </c>
      <c r="E75" s="157" t="s">
        <v>83</v>
      </c>
      <c r="F75" s="85">
        <v>9</v>
      </c>
      <c r="G75" s="152">
        <v>55</v>
      </c>
      <c r="H75" s="153">
        <f t="shared" si="5"/>
        <v>3437.72</v>
      </c>
      <c r="I75" s="153">
        <f t="shared" si="20"/>
        <v>3361.78</v>
      </c>
      <c r="J75" s="103">
        <f t="shared" si="2"/>
        <v>184897.90000000002</v>
      </c>
      <c r="K75" s="154">
        <f t="shared" si="11"/>
        <v>189074.59999999998</v>
      </c>
      <c r="L75" s="155">
        <f t="shared" si="22"/>
        <v>-4176.6999999999534</v>
      </c>
      <c r="M75" s="103">
        <f t="shared" si="7"/>
        <v>-299.07530999117768</v>
      </c>
      <c r="N75" s="156">
        <f t="shared" si="8"/>
        <v>-4475.7753099911315</v>
      </c>
      <c r="O75" s="103">
        <v>0</v>
      </c>
      <c r="P75" s="103">
        <v>0</v>
      </c>
      <c r="Q75" s="103">
        <v>0</v>
      </c>
      <c r="R75" s="156">
        <f t="shared" si="9"/>
        <v>-4475.7753099911315</v>
      </c>
    </row>
    <row r="76" spans="1:18" x14ac:dyDescent="0.2">
      <c r="A76" s="85">
        <v>9</v>
      </c>
      <c r="B76" s="149">
        <f t="shared" si="4"/>
        <v>45901</v>
      </c>
      <c r="C76" s="168">
        <f t="shared" si="21"/>
        <v>45933</v>
      </c>
      <c r="D76" s="168">
        <f t="shared" si="21"/>
        <v>45954</v>
      </c>
      <c r="E76" s="157" t="s">
        <v>83</v>
      </c>
      <c r="F76" s="85">
        <v>9</v>
      </c>
      <c r="G76" s="152">
        <v>44</v>
      </c>
      <c r="H76" s="153">
        <f t="shared" si="5"/>
        <v>3437.72</v>
      </c>
      <c r="I76" s="153">
        <f t="shared" si="20"/>
        <v>3361.78</v>
      </c>
      <c r="J76" s="103">
        <f t="shared" si="2"/>
        <v>147918.32</v>
      </c>
      <c r="K76" s="154">
        <f t="shared" si="11"/>
        <v>151259.68</v>
      </c>
      <c r="L76" s="155">
        <f t="shared" si="22"/>
        <v>-3341.359999999986</v>
      </c>
      <c r="M76" s="103">
        <f t="shared" si="7"/>
        <v>-239.26024799294214</v>
      </c>
      <c r="N76" s="156">
        <f t="shared" si="8"/>
        <v>-3580.6202479929279</v>
      </c>
      <c r="O76" s="103">
        <v>0</v>
      </c>
      <c r="P76" s="103">
        <v>0</v>
      </c>
      <c r="Q76" s="103">
        <v>0</v>
      </c>
      <c r="R76" s="156">
        <f t="shared" si="9"/>
        <v>-3580.6202479929279</v>
      </c>
    </row>
    <row r="77" spans="1:18" x14ac:dyDescent="0.2">
      <c r="A77" s="85">
        <v>10</v>
      </c>
      <c r="B77" s="149">
        <f t="shared" si="4"/>
        <v>45931</v>
      </c>
      <c r="C77" s="168">
        <f t="shared" si="21"/>
        <v>45966</v>
      </c>
      <c r="D77" s="168">
        <f t="shared" si="21"/>
        <v>45985</v>
      </c>
      <c r="E77" s="157" t="s">
        <v>83</v>
      </c>
      <c r="F77" s="85">
        <v>9</v>
      </c>
      <c r="G77" s="152">
        <v>34</v>
      </c>
      <c r="H77" s="153">
        <f t="shared" si="5"/>
        <v>3437.72</v>
      </c>
      <c r="I77" s="153">
        <f t="shared" si="20"/>
        <v>3361.78</v>
      </c>
      <c r="J77" s="103">
        <f t="shared" si="2"/>
        <v>114300.52</v>
      </c>
      <c r="K77" s="154">
        <f t="shared" si="11"/>
        <v>116882.48</v>
      </c>
      <c r="L77" s="155">
        <f t="shared" si="22"/>
        <v>-2581.9599999999919</v>
      </c>
      <c r="M77" s="103">
        <f t="shared" si="7"/>
        <v>-184.88291890363709</v>
      </c>
      <c r="N77" s="156">
        <f t="shared" si="8"/>
        <v>-2766.8429189036287</v>
      </c>
      <c r="O77" s="103">
        <v>0</v>
      </c>
      <c r="P77" s="103">
        <v>0</v>
      </c>
      <c r="Q77" s="103">
        <v>0</v>
      </c>
      <c r="R77" s="156">
        <f t="shared" si="9"/>
        <v>-2766.8429189036287</v>
      </c>
    </row>
    <row r="78" spans="1:18" x14ac:dyDescent="0.2">
      <c r="A78" s="85">
        <v>11</v>
      </c>
      <c r="B78" s="149">
        <f t="shared" si="4"/>
        <v>45962</v>
      </c>
      <c r="C78" s="168">
        <f t="shared" si="21"/>
        <v>45994</v>
      </c>
      <c r="D78" s="168">
        <f t="shared" si="21"/>
        <v>46015</v>
      </c>
      <c r="E78" s="157" t="s">
        <v>83</v>
      </c>
      <c r="F78" s="85">
        <v>9</v>
      </c>
      <c r="G78" s="152">
        <v>35</v>
      </c>
      <c r="H78" s="153">
        <f t="shared" si="5"/>
        <v>3437.72</v>
      </c>
      <c r="I78" s="153">
        <f t="shared" si="20"/>
        <v>3361.78</v>
      </c>
      <c r="J78" s="103">
        <f t="shared" si="2"/>
        <v>117662.3</v>
      </c>
      <c r="K78" s="154">
        <f>+$G78*H78</f>
        <v>120320.2</v>
      </c>
      <c r="L78" s="155">
        <f t="shared" si="22"/>
        <v>-2657.8999999999942</v>
      </c>
      <c r="M78" s="103">
        <f t="shared" si="7"/>
        <v>-190.3206518125676</v>
      </c>
      <c r="N78" s="156">
        <f t="shared" si="8"/>
        <v>-2848.2206518125618</v>
      </c>
      <c r="O78" s="103">
        <v>0</v>
      </c>
      <c r="P78" s="103">
        <v>0</v>
      </c>
      <c r="Q78" s="103">
        <v>0</v>
      </c>
      <c r="R78" s="156">
        <f t="shared" si="9"/>
        <v>-2848.2206518125618</v>
      </c>
    </row>
    <row r="79" spans="1:18" s="172" customFormat="1" x14ac:dyDescent="0.2">
      <c r="A79" s="85">
        <v>12</v>
      </c>
      <c r="B79" s="170">
        <f t="shared" si="4"/>
        <v>45992</v>
      </c>
      <c r="C79" s="173">
        <f t="shared" si="21"/>
        <v>46028</v>
      </c>
      <c r="D79" s="173">
        <f t="shared" si="21"/>
        <v>46048</v>
      </c>
      <c r="E79" s="174" t="s">
        <v>83</v>
      </c>
      <c r="F79" s="126">
        <v>9</v>
      </c>
      <c r="G79" s="160">
        <v>39</v>
      </c>
      <c r="H79" s="161">
        <f t="shared" si="5"/>
        <v>3437.72</v>
      </c>
      <c r="I79" s="161">
        <f t="shared" si="20"/>
        <v>3361.78</v>
      </c>
      <c r="J79" s="162">
        <f t="shared" si="2"/>
        <v>131109.42000000001</v>
      </c>
      <c r="K79" s="163">
        <f>+$G79*H79</f>
        <v>134071.07999999999</v>
      </c>
      <c r="L79" s="164">
        <f t="shared" si="22"/>
        <v>-2961.6599999999744</v>
      </c>
      <c r="M79" s="162">
        <f t="shared" si="7"/>
        <v>-212.07158344828963</v>
      </c>
      <c r="N79" s="208">
        <f t="shared" si="8"/>
        <v>-3173.7315834482642</v>
      </c>
      <c r="O79" s="162">
        <v>0</v>
      </c>
      <c r="P79" s="162">
        <v>0</v>
      </c>
      <c r="Q79" s="162">
        <v>0</v>
      </c>
      <c r="R79" s="208">
        <f t="shared" si="9"/>
        <v>-3173.7315834482642</v>
      </c>
    </row>
    <row r="80" spans="1:18" ht="12.75" customHeight="1" x14ac:dyDescent="0.2">
      <c r="A80" s="85">
        <v>1</v>
      </c>
      <c r="B80" s="149">
        <f t="shared" si="4"/>
        <v>45658</v>
      </c>
      <c r="C80" s="166">
        <f t="shared" ref="C80:D91" si="23">+C56</f>
        <v>45693</v>
      </c>
      <c r="D80" s="166">
        <f t="shared" si="23"/>
        <v>45712</v>
      </c>
      <c r="E80" s="151" t="s">
        <v>9</v>
      </c>
      <c r="F80" s="85">
        <v>9</v>
      </c>
      <c r="G80" s="152">
        <v>67</v>
      </c>
      <c r="H80" s="153">
        <f t="shared" si="5"/>
        <v>3437.72</v>
      </c>
      <c r="I80" s="153">
        <f t="shared" si="20"/>
        <v>3361.78</v>
      </c>
      <c r="J80" s="103">
        <f t="shared" si="2"/>
        <v>225239.26</v>
      </c>
      <c r="K80" s="154">
        <f t="shared" si="11"/>
        <v>230327.24</v>
      </c>
      <c r="L80" s="155">
        <f t="shared" si="19"/>
        <v>-5087.9799999999814</v>
      </c>
      <c r="M80" s="103">
        <f t="shared" si="7"/>
        <v>-364.32810489834372</v>
      </c>
      <c r="N80" s="156">
        <f t="shared" si="8"/>
        <v>-5452.3081048983249</v>
      </c>
      <c r="O80" s="103">
        <v>0</v>
      </c>
      <c r="P80" s="103">
        <v>0</v>
      </c>
      <c r="Q80" s="103">
        <v>0</v>
      </c>
      <c r="R80" s="156">
        <f t="shared" si="9"/>
        <v>-5452.3081048983249</v>
      </c>
    </row>
    <row r="81" spans="1:18" x14ac:dyDescent="0.2">
      <c r="A81" s="85">
        <v>2</v>
      </c>
      <c r="B81" s="149">
        <f t="shared" si="4"/>
        <v>45689</v>
      </c>
      <c r="C81" s="168">
        <f t="shared" si="23"/>
        <v>45721</v>
      </c>
      <c r="D81" s="168">
        <f t="shared" si="23"/>
        <v>45740</v>
      </c>
      <c r="E81" s="157" t="s">
        <v>9</v>
      </c>
      <c r="F81" s="85">
        <v>9</v>
      </c>
      <c r="G81" s="152">
        <v>71</v>
      </c>
      <c r="H81" s="153">
        <f t="shared" si="5"/>
        <v>3437.72</v>
      </c>
      <c r="I81" s="153">
        <f t="shared" si="20"/>
        <v>3361.78</v>
      </c>
      <c r="J81" s="103">
        <f t="shared" si="2"/>
        <v>238686.38</v>
      </c>
      <c r="K81" s="154">
        <f t="shared" si="11"/>
        <v>244078.12</v>
      </c>
      <c r="L81" s="155">
        <f t="shared" si="19"/>
        <v>-5391.7399999999907</v>
      </c>
      <c r="M81" s="103">
        <f t="shared" si="7"/>
        <v>-386.07903653406572</v>
      </c>
      <c r="N81" s="156">
        <f t="shared" si="8"/>
        <v>-5777.8190365340561</v>
      </c>
      <c r="O81" s="103">
        <v>0</v>
      </c>
      <c r="P81" s="103">
        <v>0</v>
      </c>
      <c r="Q81" s="103">
        <v>0</v>
      </c>
      <c r="R81" s="156">
        <f t="shared" si="9"/>
        <v>-5777.8190365340561</v>
      </c>
    </row>
    <row r="82" spans="1:18" x14ac:dyDescent="0.2">
      <c r="A82" s="85">
        <v>3</v>
      </c>
      <c r="B82" s="149">
        <f t="shared" si="4"/>
        <v>45717</v>
      </c>
      <c r="C82" s="168">
        <f t="shared" si="23"/>
        <v>45750</v>
      </c>
      <c r="D82" s="168">
        <f t="shared" si="23"/>
        <v>45771</v>
      </c>
      <c r="E82" s="157" t="s">
        <v>9</v>
      </c>
      <c r="F82" s="85">
        <v>9</v>
      </c>
      <c r="G82" s="152">
        <v>49</v>
      </c>
      <c r="H82" s="153">
        <f t="shared" si="5"/>
        <v>3437.72</v>
      </c>
      <c r="I82" s="153">
        <f t="shared" si="20"/>
        <v>3361.78</v>
      </c>
      <c r="J82" s="103">
        <f t="shared" si="2"/>
        <v>164727.22</v>
      </c>
      <c r="K82" s="154">
        <f t="shared" si="11"/>
        <v>168448.28</v>
      </c>
      <c r="L82" s="155">
        <f>+J82-K82</f>
        <v>-3721.0599999999977</v>
      </c>
      <c r="M82" s="103">
        <f t="shared" si="7"/>
        <v>-266.44891253759465</v>
      </c>
      <c r="N82" s="156">
        <f t="shared" si="8"/>
        <v>-3987.5089125375926</v>
      </c>
      <c r="O82" s="103">
        <v>0</v>
      </c>
      <c r="P82" s="103">
        <v>0</v>
      </c>
      <c r="Q82" s="103">
        <v>0</v>
      </c>
      <c r="R82" s="156">
        <f t="shared" si="9"/>
        <v>-3987.5089125375926</v>
      </c>
    </row>
    <row r="83" spans="1:18" ht="12" customHeight="1" x14ac:dyDescent="0.2">
      <c r="A83" s="85">
        <v>4</v>
      </c>
      <c r="B83" s="149">
        <f t="shared" si="4"/>
        <v>45748</v>
      </c>
      <c r="C83" s="168">
        <f t="shared" si="23"/>
        <v>45782</v>
      </c>
      <c r="D83" s="168">
        <f t="shared" si="23"/>
        <v>45803</v>
      </c>
      <c r="E83" s="1" t="s">
        <v>9</v>
      </c>
      <c r="F83" s="85">
        <v>9</v>
      </c>
      <c r="G83" s="152">
        <v>37</v>
      </c>
      <c r="H83" s="153">
        <f t="shared" si="5"/>
        <v>3437.72</v>
      </c>
      <c r="I83" s="153">
        <f t="shared" si="20"/>
        <v>3361.78</v>
      </c>
      <c r="J83" s="103">
        <f t="shared" si="2"/>
        <v>124385.86</v>
      </c>
      <c r="K83" s="154">
        <f t="shared" si="11"/>
        <v>127195.64</v>
      </c>
      <c r="L83" s="155">
        <f t="shared" ref="L83:L93" si="24">+J83-K83</f>
        <v>-2809.7799999999988</v>
      </c>
      <c r="M83" s="103">
        <f t="shared" si="7"/>
        <v>-201.1961176304286</v>
      </c>
      <c r="N83" s="156">
        <f t="shared" si="8"/>
        <v>-3010.9761176304273</v>
      </c>
      <c r="O83" s="103">
        <v>0</v>
      </c>
      <c r="P83" s="103">
        <v>0</v>
      </c>
      <c r="Q83" s="103">
        <v>0</v>
      </c>
      <c r="R83" s="156">
        <f t="shared" si="9"/>
        <v>-3010.9761176304273</v>
      </c>
    </row>
    <row r="84" spans="1:18" ht="12" customHeight="1" x14ac:dyDescent="0.2">
      <c r="A84" s="85">
        <v>5</v>
      </c>
      <c r="B84" s="149">
        <f t="shared" si="4"/>
        <v>45778</v>
      </c>
      <c r="C84" s="168">
        <f t="shared" si="23"/>
        <v>45812</v>
      </c>
      <c r="D84" s="168">
        <f t="shared" si="23"/>
        <v>45832</v>
      </c>
      <c r="E84" s="1" t="s">
        <v>9</v>
      </c>
      <c r="F84" s="85">
        <v>9</v>
      </c>
      <c r="G84" s="152">
        <v>50</v>
      </c>
      <c r="H84" s="153">
        <f t="shared" si="5"/>
        <v>3437.72</v>
      </c>
      <c r="I84" s="153">
        <f t="shared" si="20"/>
        <v>3361.78</v>
      </c>
      <c r="J84" s="103">
        <f t="shared" si="2"/>
        <v>168089</v>
      </c>
      <c r="K84" s="154">
        <f t="shared" si="11"/>
        <v>171886</v>
      </c>
      <c r="L84" s="155">
        <f t="shared" si="24"/>
        <v>-3797</v>
      </c>
      <c r="M84" s="103">
        <f t="shared" si="7"/>
        <v>-271.88664544652516</v>
      </c>
      <c r="N84" s="156">
        <f t="shared" si="8"/>
        <v>-4068.8866454465251</v>
      </c>
      <c r="O84" s="103">
        <v>0</v>
      </c>
      <c r="P84" s="103">
        <v>0</v>
      </c>
      <c r="Q84" s="103">
        <v>0</v>
      </c>
      <c r="R84" s="156">
        <f t="shared" si="9"/>
        <v>-4068.8866454465251</v>
      </c>
    </row>
    <row r="85" spans="1:18" x14ac:dyDescent="0.2">
      <c r="A85" s="85">
        <v>6</v>
      </c>
      <c r="B85" s="149">
        <f t="shared" si="4"/>
        <v>45809</v>
      </c>
      <c r="C85" s="168">
        <f t="shared" si="23"/>
        <v>45841</v>
      </c>
      <c r="D85" s="168">
        <f t="shared" si="23"/>
        <v>45862</v>
      </c>
      <c r="E85" s="1" t="s">
        <v>9</v>
      </c>
      <c r="F85" s="85">
        <v>9</v>
      </c>
      <c r="G85" s="152">
        <v>54</v>
      </c>
      <c r="H85" s="153">
        <f t="shared" ref="H85:H148" si="25">+$K$3</f>
        <v>3437.72</v>
      </c>
      <c r="I85" s="153">
        <f t="shared" si="20"/>
        <v>3361.78</v>
      </c>
      <c r="J85" s="103">
        <f t="shared" si="2"/>
        <v>181536.12000000002</v>
      </c>
      <c r="K85" s="154">
        <f t="shared" si="11"/>
        <v>185636.87999999998</v>
      </c>
      <c r="L85" s="155">
        <f t="shared" si="24"/>
        <v>-4100.7599999999511</v>
      </c>
      <c r="M85" s="103">
        <f t="shared" ref="M85:M148" si="26">G85/$G$212*$M$14</f>
        <v>-293.63757708224716</v>
      </c>
      <c r="N85" s="156">
        <f t="shared" ref="N85:N148" si="27">SUM(L85:M85)</f>
        <v>-4394.397577082198</v>
      </c>
      <c r="O85" s="103">
        <v>0</v>
      </c>
      <c r="P85" s="103">
        <v>0</v>
      </c>
      <c r="Q85" s="103">
        <v>0</v>
      </c>
      <c r="R85" s="156">
        <f t="shared" ref="R85:R148" si="28">+N85-Q85</f>
        <v>-4394.397577082198</v>
      </c>
    </row>
    <row r="86" spans="1:18" x14ac:dyDescent="0.2">
      <c r="A86" s="85">
        <v>7</v>
      </c>
      <c r="B86" s="149">
        <f t="shared" si="4"/>
        <v>45839</v>
      </c>
      <c r="C86" s="168">
        <f t="shared" si="23"/>
        <v>45874</v>
      </c>
      <c r="D86" s="168">
        <f t="shared" si="23"/>
        <v>45894</v>
      </c>
      <c r="E86" s="1" t="s">
        <v>9</v>
      </c>
      <c r="F86" s="85">
        <v>9</v>
      </c>
      <c r="G86" s="152">
        <v>62</v>
      </c>
      <c r="H86" s="153">
        <f t="shared" si="25"/>
        <v>3437.72</v>
      </c>
      <c r="I86" s="153">
        <f t="shared" si="20"/>
        <v>3361.78</v>
      </c>
      <c r="J86" s="103">
        <f t="shared" si="2"/>
        <v>208430.36000000002</v>
      </c>
      <c r="K86" s="154">
        <f t="shared" si="11"/>
        <v>213138.63999999998</v>
      </c>
      <c r="L86" s="155">
        <f t="shared" si="24"/>
        <v>-4708.2799999999697</v>
      </c>
      <c r="M86" s="103">
        <f t="shared" si="26"/>
        <v>-337.13944035369121</v>
      </c>
      <c r="N86" s="156">
        <f t="shared" si="27"/>
        <v>-5045.4194403536612</v>
      </c>
      <c r="O86" s="103">
        <v>0</v>
      </c>
      <c r="P86" s="103">
        <v>0</v>
      </c>
      <c r="Q86" s="103">
        <v>0</v>
      </c>
      <c r="R86" s="156">
        <f t="shared" si="28"/>
        <v>-5045.4194403536612</v>
      </c>
    </row>
    <row r="87" spans="1:18" x14ac:dyDescent="0.2">
      <c r="A87" s="85">
        <v>8</v>
      </c>
      <c r="B87" s="149">
        <f t="shared" si="4"/>
        <v>45870</v>
      </c>
      <c r="C87" s="168">
        <f t="shared" si="23"/>
        <v>45904</v>
      </c>
      <c r="D87" s="168">
        <f t="shared" si="23"/>
        <v>45924</v>
      </c>
      <c r="E87" s="1" t="s">
        <v>9</v>
      </c>
      <c r="F87" s="85">
        <v>9</v>
      </c>
      <c r="G87" s="152">
        <v>55</v>
      </c>
      <c r="H87" s="153">
        <f t="shared" si="25"/>
        <v>3437.72</v>
      </c>
      <c r="I87" s="153">
        <f t="shared" si="20"/>
        <v>3361.78</v>
      </c>
      <c r="J87" s="103">
        <f t="shared" si="2"/>
        <v>184897.90000000002</v>
      </c>
      <c r="K87" s="154">
        <f t="shared" si="11"/>
        <v>189074.59999999998</v>
      </c>
      <c r="L87" s="155">
        <f t="shared" si="24"/>
        <v>-4176.6999999999534</v>
      </c>
      <c r="M87" s="103">
        <f t="shared" si="26"/>
        <v>-299.07530999117768</v>
      </c>
      <c r="N87" s="156">
        <f t="shared" si="27"/>
        <v>-4475.7753099911315</v>
      </c>
      <c r="O87" s="103">
        <v>0</v>
      </c>
      <c r="P87" s="103">
        <v>0</v>
      </c>
      <c r="Q87" s="103">
        <v>0</v>
      </c>
      <c r="R87" s="156">
        <f t="shared" si="28"/>
        <v>-4475.7753099911315</v>
      </c>
    </row>
    <row r="88" spans="1:18" x14ac:dyDescent="0.2">
      <c r="A88" s="85">
        <v>9</v>
      </c>
      <c r="B88" s="149">
        <f t="shared" si="4"/>
        <v>45901</v>
      </c>
      <c r="C88" s="168">
        <f t="shared" si="23"/>
        <v>45933</v>
      </c>
      <c r="D88" s="168">
        <f t="shared" si="23"/>
        <v>45954</v>
      </c>
      <c r="E88" s="1" t="s">
        <v>9</v>
      </c>
      <c r="F88" s="85">
        <v>9</v>
      </c>
      <c r="G88" s="152">
        <v>50</v>
      </c>
      <c r="H88" s="153">
        <f t="shared" si="25"/>
        <v>3437.72</v>
      </c>
      <c r="I88" s="153">
        <f t="shared" si="20"/>
        <v>3361.78</v>
      </c>
      <c r="J88" s="103">
        <f t="shared" si="2"/>
        <v>168089</v>
      </c>
      <c r="K88" s="154">
        <f t="shared" si="11"/>
        <v>171886</v>
      </c>
      <c r="L88" s="155">
        <f t="shared" si="24"/>
        <v>-3797</v>
      </c>
      <c r="M88" s="103">
        <f t="shared" si="26"/>
        <v>-271.88664544652516</v>
      </c>
      <c r="N88" s="156">
        <f t="shared" si="27"/>
        <v>-4068.8866454465251</v>
      </c>
      <c r="O88" s="103">
        <v>0</v>
      </c>
      <c r="P88" s="103">
        <v>0</v>
      </c>
      <c r="Q88" s="103">
        <v>0</v>
      </c>
      <c r="R88" s="156">
        <f t="shared" si="28"/>
        <v>-4068.8866454465251</v>
      </c>
    </row>
    <row r="89" spans="1:18" x14ac:dyDescent="0.2">
      <c r="A89" s="85">
        <v>10</v>
      </c>
      <c r="B89" s="149">
        <f t="shared" si="4"/>
        <v>45931</v>
      </c>
      <c r="C89" s="168">
        <f t="shared" si="23"/>
        <v>45966</v>
      </c>
      <c r="D89" s="168">
        <f t="shared" si="23"/>
        <v>45985</v>
      </c>
      <c r="E89" s="1" t="s">
        <v>9</v>
      </c>
      <c r="F89" s="85">
        <v>9</v>
      </c>
      <c r="G89" s="152">
        <v>47</v>
      </c>
      <c r="H89" s="153">
        <f t="shared" si="25"/>
        <v>3437.72</v>
      </c>
      <c r="I89" s="153">
        <f t="shared" si="20"/>
        <v>3361.78</v>
      </c>
      <c r="J89" s="103">
        <f t="shared" si="2"/>
        <v>158003.66</v>
      </c>
      <c r="K89" s="154">
        <f t="shared" si="11"/>
        <v>161572.84</v>
      </c>
      <c r="L89" s="155">
        <f t="shared" si="24"/>
        <v>-3569.179999999993</v>
      </c>
      <c r="M89" s="103">
        <f t="shared" si="26"/>
        <v>-255.57344671973365</v>
      </c>
      <c r="N89" s="156">
        <f t="shared" si="27"/>
        <v>-3824.7534467197265</v>
      </c>
      <c r="O89" s="103">
        <v>0</v>
      </c>
      <c r="P89" s="103">
        <v>0</v>
      </c>
      <c r="Q89" s="103">
        <v>0</v>
      </c>
      <c r="R89" s="156">
        <f t="shared" si="28"/>
        <v>-3824.7534467197265</v>
      </c>
    </row>
    <row r="90" spans="1:18" x14ac:dyDescent="0.2">
      <c r="A90" s="85">
        <v>11</v>
      </c>
      <c r="B90" s="149">
        <f t="shared" si="4"/>
        <v>45962</v>
      </c>
      <c r="C90" s="168">
        <f t="shared" si="23"/>
        <v>45994</v>
      </c>
      <c r="D90" s="168">
        <f t="shared" si="23"/>
        <v>46015</v>
      </c>
      <c r="E90" s="1" t="s">
        <v>9</v>
      </c>
      <c r="F90" s="85">
        <v>9</v>
      </c>
      <c r="G90" s="152">
        <v>48</v>
      </c>
      <c r="H90" s="153">
        <f t="shared" si="25"/>
        <v>3437.72</v>
      </c>
      <c r="I90" s="153">
        <f t="shared" si="20"/>
        <v>3361.78</v>
      </c>
      <c r="J90" s="103">
        <f t="shared" si="2"/>
        <v>161365.44</v>
      </c>
      <c r="K90" s="154">
        <f t="shared" si="11"/>
        <v>165010.56</v>
      </c>
      <c r="L90" s="155">
        <f t="shared" si="24"/>
        <v>-3645.1199999999953</v>
      </c>
      <c r="M90" s="103">
        <f t="shared" si="26"/>
        <v>-261.01117962866414</v>
      </c>
      <c r="N90" s="156">
        <f t="shared" si="27"/>
        <v>-3906.1311796286595</v>
      </c>
      <c r="O90" s="103">
        <v>0</v>
      </c>
      <c r="P90" s="103">
        <v>0</v>
      </c>
      <c r="Q90" s="103">
        <v>0</v>
      </c>
      <c r="R90" s="156">
        <f t="shared" si="28"/>
        <v>-3906.1311796286595</v>
      </c>
    </row>
    <row r="91" spans="1:18" s="172" customFormat="1" x14ac:dyDescent="0.2">
      <c r="A91" s="85">
        <v>12</v>
      </c>
      <c r="B91" s="170">
        <f t="shared" si="4"/>
        <v>45992</v>
      </c>
      <c r="C91" s="168">
        <f t="shared" si="23"/>
        <v>46028</v>
      </c>
      <c r="D91" s="168">
        <f t="shared" si="23"/>
        <v>46048</v>
      </c>
      <c r="E91" s="171" t="s">
        <v>9</v>
      </c>
      <c r="F91" s="126">
        <v>9</v>
      </c>
      <c r="G91" s="160">
        <v>58</v>
      </c>
      <c r="H91" s="161">
        <f t="shared" si="25"/>
        <v>3437.72</v>
      </c>
      <c r="I91" s="161">
        <f t="shared" si="20"/>
        <v>3361.78</v>
      </c>
      <c r="J91" s="162">
        <f t="shared" si="2"/>
        <v>194983.24000000002</v>
      </c>
      <c r="K91" s="163">
        <f t="shared" si="11"/>
        <v>199387.75999999998</v>
      </c>
      <c r="L91" s="164">
        <f t="shared" si="24"/>
        <v>-4404.5199999999604</v>
      </c>
      <c r="M91" s="162">
        <f t="shared" si="26"/>
        <v>-315.38850871796916</v>
      </c>
      <c r="N91" s="208">
        <f t="shared" si="27"/>
        <v>-4719.9085087179292</v>
      </c>
      <c r="O91" s="162">
        <v>0</v>
      </c>
      <c r="P91" s="162">
        <v>0</v>
      </c>
      <c r="Q91" s="162">
        <v>0</v>
      </c>
      <c r="R91" s="208">
        <f t="shared" si="28"/>
        <v>-4719.9085087179292</v>
      </c>
    </row>
    <row r="92" spans="1:18" x14ac:dyDescent="0.2">
      <c r="A92" s="85">
        <v>1</v>
      </c>
      <c r="B92" s="149">
        <f t="shared" si="4"/>
        <v>45658</v>
      </c>
      <c r="C92" s="166">
        <f t="shared" ref="C92:D95" si="29">+C80</f>
        <v>45693</v>
      </c>
      <c r="D92" s="166">
        <f t="shared" si="29"/>
        <v>45712</v>
      </c>
      <c r="E92" s="151" t="s">
        <v>8</v>
      </c>
      <c r="F92" s="85">
        <v>9</v>
      </c>
      <c r="G92" s="152">
        <v>89</v>
      </c>
      <c r="H92" s="153">
        <f t="shared" si="25"/>
        <v>3437.72</v>
      </c>
      <c r="I92" s="153">
        <f t="shared" si="20"/>
        <v>3361.78</v>
      </c>
      <c r="J92" s="103">
        <f t="shared" si="2"/>
        <v>299198.42000000004</v>
      </c>
      <c r="K92" s="154">
        <f t="shared" si="11"/>
        <v>305957.07999999996</v>
      </c>
      <c r="L92" s="155">
        <f t="shared" si="24"/>
        <v>-6758.6599999999162</v>
      </c>
      <c r="M92" s="103">
        <f t="shared" si="26"/>
        <v>-483.95822889481474</v>
      </c>
      <c r="N92" s="156">
        <f t="shared" si="27"/>
        <v>-7242.6182288947311</v>
      </c>
      <c r="O92" s="103">
        <v>0</v>
      </c>
      <c r="P92" s="103">
        <v>0</v>
      </c>
      <c r="Q92" s="103">
        <v>0</v>
      </c>
      <c r="R92" s="156">
        <f t="shared" si="28"/>
        <v>-7242.6182288947311</v>
      </c>
    </row>
    <row r="93" spans="1:18" x14ac:dyDescent="0.2">
      <c r="A93" s="85">
        <v>2</v>
      </c>
      <c r="B93" s="149">
        <f t="shared" si="4"/>
        <v>45689</v>
      </c>
      <c r="C93" s="168">
        <f t="shared" si="29"/>
        <v>45721</v>
      </c>
      <c r="D93" s="168">
        <f t="shared" si="29"/>
        <v>45740</v>
      </c>
      <c r="E93" s="157" t="s">
        <v>8</v>
      </c>
      <c r="F93" s="85">
        <v>9</v>
      </c>
      <c r="G93" s="152">
        <v>102</v>
      </c>
      <c r="H93" s="153">
        <f t="shared" si="25"/>
        <v>3437.72</v>
      </c>
      <c r="I93" s="153">
        <f t="shared" si="20"/>
        <v>3361.78</v>
      </c>
      <c r="J93" s="103">
        <f t="shared" si="2"/>
        <v>342901.56</v>
      </c>
      <c r="K93" s="154">
        <f t="shared" si="11"/>
        <v>350647.44</v>
      </c>
      <c r="L93" s="155">
        <f t="shared" si="24"/>
        <v>-7745.8800000000047</v>
      </c>
      <c r="M93" s="103">
        <f t="shared" si="26"/>
        <v>-554.64875671091124</v>
      </c>
      <c r="N93" s="156">
        <f t="shared" si="27"/>
        <v>-8300.5287567109153</v>
      </c>
      <c r="O93" s="103">
        <v>0</v>
      </c>
      <c r="P93" s="103">
        <v>0</v>
      </c>
      <c r="Q93" s="103">
        <v>0</v>
      </c>
      <c r="R93" s="156">
        <f t="shared" si="28"/>
        <v>-8300.5287567109153</v>
      </c>
    </row>
    <row r="94" spans="1:18" x14ac:dyDescent="0.2">
      <c r="A94" s="85">
        <v>3</v>
      </c>
      <c r="B94" s="149">
        <f t="shared" si="4"/>
        <v>45717</v>
      </c>
      <c r="C94" s="168">
        <f t="shared" si="29"/>
        <v>45750</v>
      </c>
      <c r="D94" s="168">
        <f t="shared" si="29"/>
        <v>45771</v>
      </c>
      <c r="E94" s="157" t="s">
        <v>8</v>
      </c>
      <c r="F94" s="85">
        <v>9</v>
      </c>
      <c r="G94" s="152">
        <v>64</v>
      </c>
      <c r="H94" s="153">
        <f t="shared" si="25"/>
        <v>3437.72</v>
      </c>
      <c r="I94" s="153">
        <f t="shared" si="20"/>
        <v>3361.78</v>
      </c>
      <c r="J94" s="103">
        <f t="shared" si="2"/>
        <v>215153.92000000001</v>
      </c>
      <c r="K94" s="154">
        <f t="shared" ref="K94:K133" si="30">+$G94*H94</f>
        <v>220014.07999999999</v>
      </c>
      <c r="L94" s="155">
        <f>+J94-K94</f>
        <v>-4860.1599999999744</v>
      </c>
      <c r="M94" s="103">
        <f t="shared" si="26"/>
        <v>-348.01490617155218</v>
      </c>
      <c r="N94" s="156">
        <f t="shared" si="27"/>
        <v>-5208.1749061715263</v>
      </c>
      <c r="O94" s="103">
        <v>0</v>
      </c>
      <c r="P94" s="103">
        <v>0</v>
      </c>
      <c r="Q94" s="103">
        <v>0</v>
      </c>
      <c r="R94" s="156">
        <f t="shared" si="28"/>
        <v>-5208.1749061715263</v>
      </c>
    </row>
    <row r="95" spans="1:18" x14ac:dyDescent="0.2">
      <c r="A95" s="85">
        <v>4</v>
      </c>
      <c r="B95" s="149">
        <f t="shared" si="4"/>
        <v>45748</v>
      </c>
      <c r="C95" s="168">
        <f t="shared" si="29"/>
        <v>45782</v>
      </c>
      <c r="D95" s="168">
        <f t="shared" si="29"/>
        <v>45803</v>
      </c>
      <c r="E95" s="157" t="s">
        <v>8</v>
      </c>
      <c r="F95" s="85">
        <v>9</v>
      </c>
      <c r="G95" s="152">
        <v>71</v>
      </c>
      <c r="H95" s="153">
        <f t="shared" si="25"/>
        <v>3437.72</v>
      </c>
      <c r="I95" s="153">
        <f t="shared" si="20"/>
        <v>3361.78</v>
      </c>
      <c r="J95" s="103">
        <f t="shared" si="2"/>
        <v>238686.38</v>
      </c>
      <c r="K95" s="154">
        <f t="shared" si="30"/>
        <v>244078.12</v>
      </c>
      <c r="L95" s="155">
        <f t="shared" ref="L95:L105" si="31">+J95-K95</f>
        <v>-5391.7399999999907</v>
      </c>
      <c r="M95" s="103">
        <f t="shared" si="26"/>
        <v>-386.07903653406572</v>
      </c>
      <c r="N95" s="156">
        <f t="shared" si="27"/>
        <v>-5777.8190365340561</v>
      </c>
      <c r="O95" s="103">
        <v>0</v>
      </c>
      <c r="P95" s="103">
        <v>0</v>
      </c>
      <c r="Q95" s="103">
        <v>0</v>
      </c>
      <c r="R95" s="156">
        <f t="shared" si="28"/>
        <v>-5777.8190365340561</v>
      </c>
    </row>
    <row r="96" spans="1:18" x14ac:dyDescent="0.2">
      <c r="A96" s="85">
        <v>5</v>
      </c>
      <c r="B96" s="149">
        <f t="shared" si="4"/>
        <v>45778</v>
      </c>
      <c r="C96" s="168">
        <f t="shared" ref="C96:D116" si="32">+C84</f>
        <v>45812</v>
      </c>
      <c r="D96" s="168">
        <f t="shared" si="32"/>
        <v>45832</v>
      </c>
      <c r="E96" s="1" t="s">
        <v>8</v>
      </c>
      <c r="F96" s="85">
        <v>9</v>
      </c>
      <c r="G96" s="152">
        <v>108</v>
      </c>
      <c r="H96" s="153">
        <f t="shared" si="25"/>
        <v>3437.72</v>
      </c>
      <c r="I96" s="153">
        <f t="shared" si="20"/>
        <v>3361.78</v>
      </c>
      <c r="J96" s="103">
        <f t="shared" si="2"/>
        <v>363072.24000000005</v>
      </c>
      <c r="K96" s="154">
        <f t="shared" si="30"/>
        <v>371273.75999999995</v>
      </c>
      <c r="L96" s="155">
        <f t="shared" si="31"/>
        <v>-8201.5199999999022</v>
      </c>
      <c r="M96" s="103">
        <f t="shared" si="26"/>
        <v>-587.27515416449432</v>
      </c>
      <c r="N96" s="156">
        <f t="shared" si="27"/>
        <v>-8788.7951541643961</v>
      </c>
      <c r="O96" s="103">
        <v>0</v>
      </c>
      <c r="P96" s="103">
        <v>0</v>
      </c>
      <c r="Q96" s="103">
        <v>0</v>
      </c>
      <c r="R96" s="156">
        <f t="shared" si="28"/>
        <v>-8788.7951541643961</v>
      </c>
    </row>
    <row r="97" spans="1:18" x14ac:dyDescent="0.2">
      <c r="A97" s="85">
        <v>6</v>
      </c>
      <c r="B97" s="149">
        <f t="shared" si="4"/>
        <v>45809</v>
      </c>
      <c r="C97" s="168">
        <f t="shared" si="32"/>
        <v>45841</v>
      </c>
      <c r="D97" s="168">
        <f t="shared" si="32"/>
        <v>45862</v>
      </c>
      <c r="E97" s="1" t="s">
        <v>8</v>
      </c>
      <c r="F97" s="85">
        <v>9</v>
      </c>
      <c r="G97" s="152">
        <v>130</v>
      </c>
      <c r="H97" s="153">
        <f t="shared" si="25"/>
        <v>3437.72</v>
      </c>
      <c r="I97" s="153">
        <f t="shared" si="20"/>
        <v>3361.78</v>
      </c>
      <c r="J97" s="103">
        <f t="shared" si="2"/>
        <v>437031.4</v>
      </c>
      <c r="K97" s="154">
        <f t="shared" si="30"/>
        <v>446903.6</v>
      </c>
      <c r="L97" s="155">
        <f t="shared" si="31"/>
        <v>-9872.1999999999534</v>
      </c>
      <c r="M97" s="103">
        <f t="shared" si="26"/>
        <v>-706.90527816096539</v>
      </c>
      <c r="N97" s="156">
        <f t="shared" si="27"/>
        <v>-10579.10527816092</v>
      </c>
      <c r="O97" s="103">
        <v>0</v>
      </c>
      <c r="P97" s="103">
        <v>0</v>
      </c>
      <c r="Q97" s="103">
        <v>0</v>
      </c>
      <c r="R97" s="156">
        <f t="shared" si="28"/>
        <v>-10579.10527816092</v>
      </c>
    </row>
    <row r="98" spans="1:18" x14ac:dyDescent="0.2">
      <c r="A98" s="85">
        <v>7</v>
      </c>
      <c r="B98" s="149">
        <f t="shared" si="4"/>
        <v>45839</v>
      </c>
      <c r="C98" s="168">
        <f t="shared" si="32"/>
        <v>45874</v>
      </c>
      <c r="D98" s="168">
        <f t="shared" si="32"/>
        <v>45894</v>
      </c>
      <c r="E98" s="1" t="s">
        <v>8</v>
      </c>
      <c r="F98" s="85">
        <v>9</v>
      </c>
      <c r="G98" s="152">
        <v>151</v>
      </c>
      <c r="H98" s="153">
        <f t="shared" si="25"/>
        <v>3437.72</v>
      </c>
      <c r="I98" s="153">
        <f t="shared" si="20"/>
        <v>3361.78</v>
      </c>
      <c r="J98" s="103">
        <f t="shared" si="2"/>
        <v>507628.78</v>
      </c>
      <c r="K98" s="154">
        <f t="shared" si="30"/>
        <v>519095.72</v>
      </c>
      <c r="L98" s="155">
        <f t="shared" si="31"/>
        <v>-11466.939999999944</v>
      </c>
      <c r="M98" s="103">
        <f t="shared" si="26"/>
        <v>-821.09766924850601</v>
      </c>
      <c r="N98" s="156">
        <f t="shared" si="27"/>
        <v>-12288.03766924845</v>
      </c>
      <c r="O98" s="103">
        <v>0</v>
      </c>
      <c r="P98" s="103">
        <v>0</v>
      </c>
      <c r="Q98" s="103">
        <v>0</v>
      </c>
      <c r="R98" s="156">
        <f t="shared" si="28"/>
        <v>-12288.03766924845</v>
      </c>
    </row>
    <row r="99" spans="1:18" x14ac:dyDescent="0.2">
      <c r="A99" s="85">
        <v>8</v>
      </c>
      <c r="B99" s="149">
        <f t="shared" si="4"/>
        <v>45870</v>
      </c>
      <c r="C99" s="168">
        <f t="shared" si="32"/>
        <v>45904</v>
      </c>
      <c r="D99" s="168">
        <f t="shared" si="32"/>
        <v>45924</v>
      </c>
      <c r="E99" s="1" t="s">
        <v>8</v>
      </c>
      <c r="F99" s="85">
        <v>9</v>
      </c>
      <c r="G99" s="152">
        <v>145</v>
      </c>
      <c r="H99" s="153">
        <f t="shared" si="25"/>
        <v>3437.72</v>
      </c>
      <c r="I99" s="153">
        <f t="shared" si="20"/>
        <v>3361.78</v>
      </c>
      <c r="J99" s="103">
        <f t="shared" si="2"/>
        <v>487458.10000000003</v>
      </c>
      <c r="K99" s="154">
        <f t="shared" si="30"/>
        <v>498469.39999999997</v>
      </c>
      <c r="L99" s="155">
        <f t="shared" si="31"/>
        <v>-11011.29999999993</v>
      </c>
      <c r="M99" s="103">
        <f t="shared" si="26"/>
        <v>-788.47127179492293</v>
      </c>
      <c r="N99" s="156">
        <f t="shared" si="27"/>
        <v>-11799.771271794853</v>
      </c>
      <c r="O99" s="103">
        <v>0</v>
      </c>
      <c r="P99" s="103">
        <v>0</v>
      </c>
      <c r="Q99" s="103">
        <v>0</v>
      </c>
      <c r="R99" s="156">
        <f t="shared" si="28"/>
        <v>-11799.771271794853</v>
      </c>
    </row>
    <row r="100" spans="1:18" x14ac:dyDescent="0.2">
      <c r="A100" s="85">
        <v>9</v>
      </c>
      <c r="B100" s="149">
        <f t="shared" si="4"/>
        <v>45901</v>
      </c>
      <c r="C100" s="168">
        <f t="shared" si="32"/>
        <v>45933</v>
      </c>
      <c r="D100" s="168">
        <f t="shared" si="32"/>
        <v>45954</v>
      </c>
      <c r="E100" s="1" t="s">
        <v>8</v>
      </c>
      <c r="F100" s="85">
        <v>9</v>
      </c>
      <c r="G100" s="152">
        <v>126</v>
      </c>
      <c r="H100" s="153">
        <f t="shared" si="25"/>
        <v>3437.72</v>
      </c>
      <c r="I100" s="153">
        <f t="shared" si="20"/>
        <v>3361.78</v>
      </c>
      <c r="J100" s="103">
        <f t="shared" si="2"/>
        <v>423584.28</v>
      </c>
      <c r="K100" s="154">
        <f t="shared" si="30"/>
        <v>433152.72</v>
      </c>
      <c r="L100" s="155">
        <f t="shared" si="31"/>
        <v>-9568.4399999999441</v>
      </c>
      <c r="M100" s="103">
        <f t="shared" si="26"/>
        <v>-685.15434652524345</v>
      </c>
      <c r="N100" s="156">
        <f t="shared" si="27"/>
        <v>-10253.594346525188</v>
      </c>
      <c r="O100" s="103">
        <v>0</v>
      </c>
      <c r="P100" s="103">
        <v>0</v>
      </c>
      <c r="Q100" s="103">
        <v>0</v>
      </c>
      <c r="R100" s="156">
        <f t="shared" si="28"/>
        <v>-10253.594346525188</v>
      </c>
    </row>
    <row r="101" spans="1:18" x14ac:dyDescent="0.2">
      <c r="A101" s="85">
        <v>10</v>
      </c>
      <c r="B101" s="149">
        <f t="shared" si="4"/>
        <v>45931</v>
      </c>
      <c r="C101" s="168">
        <f t="shared" si="32"/>
        <v>45966</v>
      </c>
      <c r="D101" s="168">
        <f t="shared" si="32"/>
        <v>45985</v>
      </c>
      <c r="E101" s="1" t="s">
        <v>8</v>
      </c>
      <c r="F101" s="85">
        <v>9</v>
      </c>
      <c r="G101" s="152">
        <v>106</v>
      </c>
      <c r="H101" s="153">
        <f t="shared" si="25"/>
        <v>3437.72</v>
      </c>
      <c r="I101" s="153">
        <f t="shared" si="20"/>
        <v>3361.78</v>
      </c>
      <c r="J101" s="103">
        <f t="shared" si="2"/>
        <v>356348.68</v>
      </c>
      <c r="K101" s="154">
        <f t="shared" si="30"/>
        <v>364398.32</v>
      </c>
      <c r="L101" s="155">
        <f t="shared" si="31"/>
        <v>-8049.640000000014</v>
      </c>
      <c r="M101" s="103">
        <f t="shared" si="26"/>
        <v>-576.3996883466333</v>
      </c>
      <c r="N101" s="156">
        <f t="shared" si="27"/>
        <v>-8626.0396883466474</v>
      </c>
      <c r="O101" s="103">
        <v>0</v>
      </c>
      <c r="P101" s="103">
        <v>0</v>
      </c>
      <c r="Q101" s="103">
        <v>0</v>
      </c>
      <c r="R101" s="156">
        <f t="shared" si="28"/>
        <v>-8626.0396883466474</v>
      </c>
    </row>
    <row r="102" spans="1:18" x14ac:dyDescent="0.2">
      <c r="A102" s="85">
        <v>11</v>
      </c>
      <c r="B102" s="149">
        <f t="shared" si="4"/>
        <v>45962</v>
      </c>
      <c r="C102" s="168">
        <f t="shared" si="32"/>
        <v>45994</v>
      </c>
      <c r="D102" s="168">
        <f t="shared" si="32"/>
        <v>46015</v>
      </c>
      <c r="E102" s="1" t="s">
        <v>8</v>
      </c>
      <c r="F102" s="85">
        <v>9</v>
      </c>
      <c r="G102" s="152">
        <v>67</v>
      </c>
      <c r="H102" s="153">
        <f t="shared" si="25"/>
        <v>3437.72</v>
      </c>
      <c r="I102" s="153">
        <f t="shared" si="20"/>
        <v>3361.78</v>
      </c>
      <c r="J102" s="103">
        <f t="shared" si="2"/>
        <v>225239.26</v>
      </c>
      <c r="K102" s="154">
        <f t="shared" si="30"/>
        <v>230327.24</v>
      </c>
      <c r="L102" s="155">
        <f t="shared" si="31"/>
        <v>-5087.9799999999814</v>
      </c>
      <c r="M102" s="103">
        <f t="shared" si="26"/>
        <v>-364.32810489834372</v>
      </c>
      <c r="N102" s="156">
        <f t="shared" si="27"/>
        <v>-5452.3081048983249</v>
      </c>
      <c r="O102" s="103">
        <v>0</v>
      </c>
      <c r="P102" s="103">
        <v>0</v>
      </c>
      <c r="Q102" s="103">
        <v>0</v>
      </c>
      <c r="R102" s="156">
        <f t="shared" si="28"/>
        <v>-5452.3081048983249</v>
      </c>
    </row>
    <row r="103" spans="1:18" s="172" customFormat="1" x14ac:dyDescent="0.2">
      <c r="A103" s="85">
        <v>12</v>
      </c>
      <c r="B103" s="170">
        <f t="shared" si="4"/>
        <v>45992</v>
      </c>
      <c r="C103" s="168">
        <f t="shared" si="32"/>
        <v>46028</v>
      </c>
      <c r="D103" s="168">
        <f t="shared" si="32"/>
        <v>46048</v>
      </c>
      <c r="E103" s="171" t="s">
        <v>8</v>
      </c>
      <c r="F103" s="126">
        <v>9</v>
      </c>
      <c r="G103" s="160">
        <v>82</v>
      </c>
      <c r="H103" s="161">
        <f t="shared" si="25"/>
        <v>3437.72</v>
      </c>
      <c r="I103" s="161">
        <f t="shared" si="20"/>
        <v>3361.78</v>
      </c>
      <c r="J103" s="162">
        <f t="shared" si="2"/>
        <v>275665.96000000002</v>
      </c>
      <c r="K103" s="163">
        <f t="shared" si="30"/>
        <v>281893.03999999998</v>
      </c>
      <c r="L103" s="164">
        <f t="shared" si="31"/>
        <v>-6227.0799999999581</v>
      </c>
      <c r="M103" s="162">
        <f t="shared" si="26"/>
        <v>-445.89409853230126</v>
      </c>
      <c r="N103" s="208">
        <f t="shared" si="27"/>
        <v>-6672.9740985322596</v>
      </c>
      <c r="O103" s="162">
        <v>0</v>
      </c>
      <c r="P103" s="162">
        <v>0</v>
      </c>
      <c r="Q103" s="162">
        <v>0</v>
      </c>
      <c r="R103" s="208">
        <f t="shared" si="28"/>
        <v>-6672.9740985322596</v>
      </c>
    </row>
    <row r="104" spans="1:18" x14ac:dyDescent="0.2">
      <c r="A104" s="85">
        <v>1</v>
      </c>
      <c r="B104" s="149">
        <f t="shared" si="4"/>
        <v>45658</v>
      </c>
      <c r="C104" s="166">
        <f t="shared" si="32"/>
        <v>45693</v>
      </c>
      <c r="D104" s="166">
        <f t="shared" si="32"/>
        <v>45712</v>
      </c>
      <c r="E104" s="151" t="s">
        <v>19</v>
      </c>
      <c r="F104" s="85">
        <v>9</v>
      </c>
      <c r="G104" s="152">
        <v>70</v>
      </c>
      <c r="H104" s="153">
        <f t="shared" si="25"/>
        <v>3437.72</v>
      </c>
      <c r="I104" s="153">
        <f t="shared" si="20"/>
        <v>3361.78</v>
      </c>
      <c r="J104" s="103">
        <f t="shared" si="2"/>
        <v>235324.6</v>
      </c>
      <c r="K104" s="154">
        <f t="shared" si="30"/>
        <v>240640.4</v>
      </c>
      <c r="L104" s="155">
        <f t="shared" si="31"/>
        <v>-5315.7999999999884</v>
      </c>
      <c r="M104" s="103">
        <f t="shared" si="26"/>
        <v>-380.64130362513521</v>
      </c>
      <c r="N104" s="156">
        <f t="shared" si="27"/>
        <v>-5696.4413036251235</v>
      </c>
      <c r="O104" s="103">
        <v>0</v>
      </c>
      <c r="P104" s="103">
        <v>0</v>
      </c>
      <c r="Q104" s="103">
        <v>0</v>
      </c>
      <c r="R104" s="156">
        <f t="shared" si="28"/>
        <v>-5696.4413036251235</v>
      </c>
    </row>
    <row r="105" spans="1:18" x14ac:dyDescent="0.2">
      <c r="A105" s="85">
        <v>2</v>
      </c>
      <c r="B105" s="149">
        <f t="shared" si="4"/>
        <v>45689</v>
      </c>
      <c r="C105" s="168">
        <f t="shared" si="32"/>
        <v>45721</v>
      </c>
      <c r="D105" s="168">
        <f t="shared" si="32"/>
        <v>45740</v>
      </c>
      <c r="E105" s="157" t="s">
        <v>19</v>
      </c>
      <c r="F105" s="85">
        <v>9</v>
      </c>
      <c r="G105" s="152">
        <v>50</v>
      </c>
      <c r="H105" s="153">
        <f t="shared" si="25"/>
        <v>3437.72</v>
      </c>
      <c r="I105" s="153">
        <f t="shared" si="20"/>
        <v>3361.78</v>
      </c>
      <c r="J105" s="103">
        <f t="shared" si="2"/>
        <v>168089</v>
      </c>
      <c r="K105" s="154">
        <f t="shared" si="30"/>
        <v>171886</v>
      </c>
      <c r="L105" s="155">
        <f t="shared" si="31"/>
        <v>-3797</v>
      </c>
      <c r="M105" s="103">
        <f t="shared" si="26"/>
        <v>-271.88664544652516</v>
      </c>
      <c r="N105" s="156">
        <f t="shared" si="27"/>
        <v>-4068.8866454465251</v>
      </c>
      <c r="O105" s="103">
        <v>0</v>
      </c>
      <c r="P105" s="103">
        <v>0</v>
      </c>
      <c r="Q105" s="103">
        <v>0</v>
      </c>
      <c r="R105" s="156">
        <f t="shared" si="28"/>
        <v>-4068.8866454465251</v>
      </c>
    </row>
    <row r="106" spans="1:18" x14ac:dyDescent="0.2">
      <c r="A106" s="85">
        <v>3</v>
      </c>
      <c r="B106" s="149">
        <f t="shared" si="4"/>
        <v>45717</v>
      </c>
      <c r="C106" s="168">
        <f t="shared" si="32"/>
        <v>45750</v>
      </c>
      <c r="D106" s="168">
        <f t="shared" si="32"/>
        <v>45771</v>
      </c>
      <c r="E106" s="157" t="s">
        <v>19</v>
      </c>
      <c r="F106" s="85">
        <v>9</v>
      </c>
      <c r="G106" s="152">
        <v>67</v>
      </c>
      <c r="H106" s="153">
        <f t="shared" si="25"/>
        <v>3437.72</v>
      </c>
      <c r="I106" s="153">
        <f t="shared" si="20"/>
        <v>3361.78</v>
      </c>
      <c r="J106" s="103">
        <f t="shared" si="2"/>
        <v>225239.26</v>
      </c>
      <c r="K106" s="154">
        <f t="shared" si="30"/>
        <v>230327.24</v>
      </c>
      <c r="L106" s="155">
        <f>+J106-K106</f>
        <v>-5087.9799999999814</v>
      </c>
      <c r="M106" s="103">
        <f t="shared" si="26"/>
        <v>-364.32810489834372</v>
      </c>
      <c r="N106" s="156">
        <f t="shared" si="27"/>
        <v>-5452.3081048983249</v>
      </c>
      <c r="O106" s="103">
        <v>0</v>
      </c>
      <c r="P106" s="103">
        <v>0</v>
      </c>
      <c r="Q106" s="103">
        <v>0</v>
      </c>
      <c r="R106" s="156">
        <f t="shared" si="28"/>
        <v>-5452.3081048983249</v>
      </c>
    </row>
    <row r="107" spans="1:18" x14ac:dyDescent="0.2">
      <c r="A107" s="85">
        <v>4</v>
      </c>
      <c r="B107" s="149">
        <f t="shared" si="4"/>
        <v>45748</v>
      </c>
      <c r="C107" s="168">
        <f t="shared" si="32"/>
        <v>45782</v>
      </c>
      <c r="D107" s="168">
        <f t="shared" si="32"/>
        <v>45803</v>
      </c>
      <c r="E107" s="1" t="s">
        <v>19</v>
      </c>
      <c r="F107" s="85">
        <v>9</v>
      </c>
      <c r="G107" s="152">
        <v>71</v>
      </c>
      <c r="H107" s="153">
        <f t="shared" si="25"/>
        <v>3437.72</v>
      </c>
      <c r="I107" s="153">
        <f t="shared" si="20"/>
        <v>3361.78</v>
      </c>
      <c r="J107" s="103">
        <f t="shared" si="2"/>
        <v>238686.38</v>
      </c>
      <c r="K107" s="154">
        <f t="shared" si="30"/>
        <v>244078.12</v>
      </c>
      <c r="L107" s="155">
        <f t="shared" ref="L107:L115" si="33">+J107-K107</f>
        <v>-5391.7399999999907</v>
      </c>
      <c r="M107" s="103">
        <f t="shared" si="26"/>
        <v>-386.07903653406572</v>
      </c>
      <c r="N107" s="156">
        <f t="shared" si="27"/>
        <v>-5777.8190365340561</v>
      </c>
      <c r="O107" s="103">
        <v>0</v>
      </c>
      <c r="P107" s="103">
        <v>0</v>
      </c>
      <c r="Q107" s="103">
        <v>0</v>
      </c>
      <c r="R107" s="156">
        <f t="shared" si="28"/>
        <v>-5777.8190365340561</v>
      </c>
    </row>
    <row r="108" spans="1:18" x14ac:dyDescent="0.2">
      <c r="A108" s="85">
        <v>5</v>
      </c>
      <c r="B108" s="149">
        <f t="shared" si="4"/>
        <v>45778</v>
      </c>
      <c r="C108" s="168">
        <f t="shared" si="32"/>
        <v>45812</v>
      </c>
      <c r="D108" s="168">
        <f t="shared" si="32"/>
        <v>45832</v>
      </c>
      <c r="E108" s="1" t="s">
        <v>19</v>
      </c>
      <c r="F108" s="85">
        <v>9</v>
      </c>
      <c r="G108" s="152">
        <v>64</v>
      </c>
      <c r="H108" s="153">
        <f t="shared" si="25"/>
        <v>3437.72</v>
      </c>
      <c r="I108" s="153">
        <f t="shared" ref="I108:I127" si="34">$J$3</f>
        <v>3361.78</v>
      </c>
      <c r="J108" s="103">
        <f t="shared" si="2"/>
        <v>215153.92000000001</v>
      </c>
      <c r="K108" s="154">
        <f t="shared" si="30"/>
        <v>220014.07999999999</v>
      </c>
      <c r="L108" s="155">
        <f t="shared" si="33"/>
        <v>-4860.1599999999744</v>
      </c>
      <c r="M108" s="103">
        <f t="shared" si="26"/>
        <v>-348.01490617155218</v>
      </c>
      <c r="N108" s="156">
        <f t="shared" si="27"/>
        <v>-5208.1749061715263</v>
      </c>
      <c r="O108" s="103">
        <v>0</v>
      </c>
      <c r="P108" s="103">
        <v>0</v>
      </c>
      <c r="Q108" s="103">
        <v>0</v>
      </c>
      <c r="R108" s="156">
        <f t="shared" si="28"/>
        <v>-5208.1749061715263</v>
      </c>
    </row>
    <row r="109" spans="1:18" x14ac:dyDescent="0.2">
      <c r="A109" s="85">
        <v>6</v>
      </c>
      <c r="B109" s="149">
        <f t="shared" ref="B109:B148" si="35">DATE($R$1,A109,1)</f>
        <v>45809</v>
      </c>
      <c r="C109" s="168">
        <f t="shared" si="32"/>
        <v>45841</v>
      </c>
      <c r="D109" s="168">
        <f t="shared" si="32"/>
        <v>45862</v>
      </c>
      <c r="E109" s="1" t="s">
        <v>19</v>
      </c>
      <c r="F109" s="85">
        <v>9</v>
      </c>
      <c r="G109" s="152">
        <v>72</v>
      </c>
      <c r="H109" s="153">
        <f t="shared" si="25"/>
        <v>3437.72</v>
      </c>
      <c r="I109" s="153">
        <f t="shared" si="34"/>
        <v>3361.78</v>
      </c>
      <c r="J109" s="103">
        <f t="shared" ref="J109:J148" si="36">+$G109*I109</f>
        <v>242048.16</v>
      </c>
      <c r="K109" s="154">
        <f t="shared" si="30"/>
        <v>247515.84</v>
      </c>
      <c r="L109" s="155">
        <f t="shared" si="33"/>
        <v>-5467.679999999993</v>
      </c>
      <c r="M109" s="103">
        <f t="shared" si="26"/>
        <v>-391.51676944299618</v>
      </c>
      <c r="N109" s="156">
        <f t="shared" si="27"/>
        <v>-5859.1967694429895</v>
      </c>
      <c r="O109" s="103">
        <v>0</v>
      </c>
      <c r="P109" s="103">
        <v>0</v>
      </c>
      <c r="Q109" s="103">
        <v>0</v>
      </c>
      <c r="R109" s="156">
        <f t="shared" si="28"/>
        <v>-5859.1967694429895</v>
      </c>
    </row>
    <row r="110" spans="1:18" x14ac:dyDescent="0.2">
      <c r="A110" s="85">
        <v>7</v>
      </c>
      <c r="B110" s="149">
        <f t="shared" si="35"/>
        <v>45839</v>
      </c>
      <c r="C110" s="168">
        <f t="shared" si="32"/>
        <v>45874</v>
      </c>
      <c r="D110" s="168">
        <f t="shared" si="32"/>
        <v>45894</v>
      </c>
      <c r="E110" s="1" t="s">
        <v>19</v>
      </c>
      <c r="F110" s="85">
        <v>9</v>
      </c>
      <c r="G110" s="152">
        <v>11</v>
      </c>
      <c r="H110" s="153">
        <f t="shared" si="25"/>
        <v>3437.72</v>
      </c>
      <c r="I110" s="153">
        <f t="shared" si="34"/>
        <v>3361.78</v>
      </c>
      <c r="J110" s="103">
        <f t="shared" si="36"/>
        <v>36979.58</v>
      </c>
      <c r="K110" s="154">
        <f t="shared" si="30"/>
        <v>37814.92</v>
      </c>
      <c r="L110" s="155">
        <f t="shared" si="33"/>
        <v>-835.33999999999651</v>
      </c>
      <c r="M110" s="103">
        <f t="shared" si="26"/>
        <v>-59.815061998235535</v>
      </c>
      <c r="N110" s="156">
        <f t="shared" si="27"/>
        <v>-895.15506199823199</v>
      </c>
      <c r="O110" s="103">
        <v>0</v>
      </c>
      <c r="P110" s="103">
        <v>0</v>
      </c>
      <c r="Q110" s="103">
        <v>0</v>
      </c>
      <c r="R110" s="156">
        <f t="shared" si="28"/>
        <v>-895.15506199823199</v>
      </c>
    </row>
    <row r="111" spans="1:18" x14ac:dyDescent="0.2">
      <c r="A111" s="85">
        <v>8</v>
      </c>
      <c r="B111" s="149">
        <f t="shared" si="35"/>
        <v>45870</v>
      </c>
      <c r="C111" s="168">
        <f t="shared" si="32"/>
        <v>45904</v>
      </c>
      <c r="D111" s="168">
        <f t="shared" si="32"/>
        <v>45924</v>
      </c>
      <c r="E111" s="1" t="s">
        <v>19</v>
      </c>
      <c r="F111" s="85">
        <v>9</v>
      </c>
      <c r="G111" s="152">
        <v>62</v>
      </c>
      <c r="H111" s="153">
        <f t="shared" si="25"/>
        <v>3437.72</v>
      </c>
      <c r="I111" s="153">
        <f t="shared" si="34"/>
        <v>3361.78</v>
      </c>
      <c r="J111" s="103">
        <f t="shared" si="36"/>
        <v>208430.36000000002</v>
      </c>
      <c r="K111" s="154">
        <f t="shared" si="30"/>
        <v>213138.63999999998</v>
      </c>
      <c r="L111" s="155">
        <f t="shared" si="33"/>
        <v>-4708.2799999999697</v>
      </c>
      <c r="M111" s="103">
        <f t="shared" si="26"/>
        <v>-337.13944035369121</v>
      </c>
      <c r="N111" s="156">
        <f t="shared" si="27"/>
        <v>-5045.4194403536612</v>
      </c>
      <c r="O111" s="103">
        <v>0</v>
      </c>
      <c r="P111" s="103">
        <v>0</v>
      </c>
      <c r="Q111" s="103">
        <v>0</v>
      </c>
      <c r="R111" s="156">
        <f t="shared" si="28"/>
        <v>-5045.4194403536612</v>
      </c>
    </row>
    <row r="112" spans="1:18" x14ac:dyDescent="0.2">
      <c r="A112" s="85">
        <v>9</v>
      </c>
      <c r="B112" s="149">
        <f t="shared" si="35"/>
        <v>45901</v>
      </c>
      <c r="C112" s="168">
        <f t="shared" si="32"/>
        <v>45933</v>
      </c>
      <c r="D112" s="168">
        <f t="shared" si="32"/>
        <v>45954</v>
      </c>
      <c r="E112" s="1" t="s">
        <v>19</v>
      </c>
      <c r="F112" s="85">
        <v>9</v>
      </c>
      <c r="G112" s="152">
        <v>72</v>
      </c>
      <c r="H112" s="153">
        <f t="shared" si="25"/>
        <v>3437.72</v>
      </c>
      <c r="I112" s="153">
        <f t="shared" si="34"/>
        <v>3361.78</v>
      </c>
      <c r="J112" s="103">
        <f t="shared" si="36"/>
        <v>242048.16</v>
      </c>
      <c r="K112" s="154">
        <f t="shared" si="30"/>
        <v>247515.84</v>
      </c>
      <c r="L112" s="155">
        <f t="shared" si="33"/>
        <v>-5467.679999999993</v>
      </c>
      <c r="M112" s="103">
        <f t="shared" si="26"/>
        <v>-391.51676944299618</v>
      </c>
      <c r="N112" s="156">
        <f t="shared" si="27"/>
        <v>-5859.1967694429895</v>
      </c>
      <c r="O112" s="103">
        <v>0</v>
      </c>
      <c r="P112" s="103">
        <v>0</v>
      </c>
      <c r="Q112" s="103">
        <v>0</v>
      </c>
      <c r="R112" s="156">
        <f t="shared" si="28"/>
        <v>-5859.1967694429895</v>
      </c>
    </row>
    <row r="113" spans="1:18" x14ac:dyDescent="0.2">
      <c r="A113" s="85">
        <v>10</v>
      </c>
      <c r="B113" s="149">
        <f t="shared" si="35"/>
        <v>45931</v>
      </c>
      <c r="C113" s="168">
        <f t="shared" si="32"/>
        <v>45966</v>
      </c>
      <c r="D113" s="168">
        <f t="shared" si="32"/>
        <v>45985</v>
      </c>
      <c r="E113" s="1" t="s">
        <v>19</v>
      </c>
      <c r="F113" s="85">
        <v>9</v>
      </c>
      <c r="G113" s="152">
        <v>72</v>
      </c>
      <c r="H113" s="153">
        <f t="shared" si="25"/>
        <v>3437.72</v>
      </c>
      <c r="I113" s="153">
        <f t="shared" si="34"/>
        <v>3361.78</v>
      </c>
      <c r="J113" s="103">
        <f t="shared" si="36"/>
        <v>242048.16</v>
      </c>
      <c r="K113" s="154">
        <f t="shared" si="30"/>
        <v>247515.84</v>
      </c>
      <c r="L113" s="155">
        <f t="shared" si="33"/>
        <v>-5467.679999999993</v>
      </c>
      <c r="M113" s="103">
        <f t="shared" si="26"/>
        <v>-391.51676944299618</v>
      </c>
      <c r="N113" s="156">
        <f t="shared" si="27"/>
        <v>-5859.1967694429895</v>
      </c>
      <c r="O113" s="103">
        <v>0</v>
      </c>
      <c r="P113" s="103">
        <v>0</v>
      </c>
      <c r="Q113" s="103">
        <v>0</v>
      </c>
      <c r="R113" s="156">
        <f t="shared" si="28"/>
        <v>-5859.1967694429895</v>
      </c>
    </row>
    <row r="114" spans="1:18" x14ac:dyDescent="0.2">
      <c r="A114" s="85">
        <v>11</v>
      </c>
      <c r="B114" s="149">
        <f t="shared" si="35"/>
        <v>45962</v>
      </c>
      <c r="C114" s="168">
        <f t="shared" si="32"/>
        <v>45994</v>
      </c>
      <c r="D114" s="168">
        <f t="shared" si="32"/>
        <v>46015</v>
      </c>
      <c r="E114" s="1" t="s">
        <v>19</v>
      </c>
      <c r="F114" s="85">
        <v>9</v>
      </c>
      <c r="G114" s="152">
        <v>67</v>
      </c>
      <c r="H114" s="153">
        <f t="shared" si="25"/>
        <v>3437.72</v>
      </c>
      <c r="I114" s="153">
        <f t="shared" si="34"/>
        <v>3361.78</v>
      </c>
      <c r="J114" s="103">
        <f t="shared" si="36"/>
        <v>225239.26</v>
      </c>
      <c r="K114" s="154">
        <f t="shared" si="30"/>
        <v>230327.24</v>
      </c>
      <c r="L114" s="155">
        <f t="shared" si="33"/>
        <v>-5087.9799999999814</v>
      </c>
      <c r="M114" s="103">
        <f t="shared" si="26"/>
        <v>-364.32810489834372</v>
      </c>
      <c r="N114" s="156">
        <f t="shared" si="27"/>
        <v>-5452.3081048983249</v>
      </c>
      <c r="O114" s="103">
        <v>0</v>
      </c>
      <c r="P114" s="103">
        <v>0</v>
      </c>
      <c r="Q114" s="103">
        <v>0</v>
      </c>
      <c r="R114" s="156">
        <f t="shared" si="28"/>
        <v>-5452.3081048983249</v>
      </c>
    </row>
    <row r="115" spans="1:18" s="172" customFormat="1" x14ac:dyDescent="0.2">
      <c r="A115" s="85">
        <v>12</v>
      </c>
      <c r="B115" s="170">
        <f t="shared" si="35"/>
        <v>45992</v>
      </c>
      <c r="C115" s="173">
        <f t="shared" si="32"/>
        <v>46028</v>
      </c>
      <c r="D115" s="173">
        <f t="shared" si="32"/>
        <v>46048</v>
      </c>
      <c r="E115" s="171" t="s">
        <v>19</v>
      </c>
      <c r="F115" s="126">
        <v>9</v>
      </c>
      <c r="G115" s="152">
        <v>68</v>
      </c>
      <c r="H115" s="161">
        <f t="shared" si="25"/>
        <v>3437.72</v>
      </c>
      <c r="I115" s="161">
        <f t="shared" si="34"/>
        <v>3361.78</v>
      </c>
      <c r="J115" s="162">
        <f t="shared" si="36"/>
        <v>228601.04</v>
      </c>
      <c r="K115" s="163">
        <f t="shared" si="30"/>
        <v>233764.96</v>
      </c>
      <c r="L115" s="164">
        <f t="shared" si="33"/>
        <v>-5163.9199999999837</v>
      </c>
      <c r="M115" s="162">
        <f t="shared" si="26"/>
        <v>-369.76583780727418</v>
      </c>
      <c r="N115" s="208">
        <f t="shared" si="27"/>
        <v>-5533.6858378072575</v>
      </c>
      <c r="O115" s="162">
        <v>0</v>
      </c>
      <c r="P115" s="162">
        <v>0</v>
      </c>
      <c r="Q115" s="162">
        <v>0</v>
      </c>
      <c r="R115" s="208">
        <f t="shared" si="28"/>
        <v>-5533.6858378072575</v>
      </c>
    </row>
    <row r="116" spans="1:18" x14ac:dyDescent="0.2">
      <c r="A116" s="85">
        <v>1</v>
      </c>
      <c r="B116" s="149">
        <f t="shared" si="35"/>
        <v>45658</v>
      </c>
      <c r="C116" s="168">
        <f t="shared" si="32"/>
        <v>45693</v>
      </c>
      <c r="D116" s="168">
        <f t="shared" si="32"/>
        <v>45712</v>
      </c>
      <c r="E116" s="151" t="s">
        <v>13</v>
      </c>
      <c r="F116" s="85">
        <v>9</v>
      </c>
      <c r="G116" s="152">
        <v>1315</v>
      </c>
      <c r="H116" s="153">
        <f t="shared" si="25"/>
        <v>3437.72</v>
      </c>
      <c r="I116" s="153">
        <f t="shared" si="34"/>
        <v>3361.78</v>
      </c>
      <c r="J116" s="103">
        <f t="shared" si="36"/>
        <v>4420740.7</v>
      </c>
      <c r="K116" s="154">
        <f t="shared" si="30"/>
        <v>4520601.8</v>
      </c>
      <c r="L116" s="155">
        <f>+J116-K116</f>
        <v>-99861.099999999627</v>
      </c>
      <c r="M116" s="103">
        <f t="shared" si="26"/>
        <v>-7150.6187752436117</v>
      </c>
      <c r="N116" s="156">
        <f t="shared" si="27"/>
        <v>-107011.71877524324</v>
      </c>
      <c r="O116" s="103">
        <v>0</v>
      </c>
      <c r="P116" s="103">
        <v>0</v>
      </c>
      <c r="Q116" s="103">
        <v>0</v>
      </c>
      <c r="R116" s="156">
        <f t="shared" si="28"/>
        <v>-107011.71877524324</v>
      </c>
    </row>
    <row r="117" spans="1:18" x14ac:dyDescent="0.2">
      <c r="A117" s="85">
        <v>2</v>
      </c>
      <c r="B117" s="149">
        <f t="shared" si="35"/>
        <v>45689</v>
      </c>
      <c r="C117" s="168">
        <f t="shared" ref="C117:D139" si="37">+C105</f>
        <v>45721</v>
      </c>
      <c r="D117" s="168">
        <f t="shared" si="37"/>
        <v>45740</v>
      </c>
      <c r="E117" s="157" t="s">
        <v>13</v>
      </c>
      <c r="F117" s="85">
        <v>9</v>
      </c>
      <c r="G117" s="152">
        <v>1377</v>
      </c>
      <c r="H117" s="153">
        <f t="shared" si="25"/>
        <v>3437.72</v>
      </c>
      <c r="I117" s="153">
        <f t="shared" si="34"/>
        <v>3361.78</v>
      </c>
      <c r="J117" s="103">
        <f t="shared" si="36"/>
        <v>4629171.0600000005</v>
      </c>
      <c r="K117" s="154">
        <f t="shared" si="30"/>
        <v>4733740.4399999995</v>
      </c>
      <c r="L117" s="155">
        <f>+J117-K117</f>
        <v>-104569.37999999896</v>
      </c>
      <c r="M117" s="103">
        <f t="shared" si="26"/>
        <v>-7487.7582155973023</v>
      </c>
      <c r="N117" s="156">
        <f t="shared" si="27"/>
        <v>-112057.13821559626</v>
      </c>
      <c r="O117" s="103">
        <v>0</v>
      </c>
      <c r="P117" s="103">
        <v>0</v>
      </c>
      <c r="Q117" s="103">
        <v>0</v>
      </c>
      <c r="R117" s="156">
        <f t="shared" si="28"/>
        <v>-112057.13821559626</v>
      </c>
    </row>
    <row r="118" spans="1:18" x14ac:dyDescent="0.2">
      <c r="A118" s="85">
        <v>3</v>
      </c>
      <c r="B118" s="149">
        <f t="shared" si="35"/>
        <v>45717</v>
      </c>
      <c r="C118" s="168">
        <f t="shared" si="37"/>
        <v>45750</v>
      </c>
      <c r="D118" s="168">
        <f t="shared" si="37"/>
        <v>45771</v>
      </c>
      <c r="E118" s="157" t="s">
        <v>13</v>
      </c>
      <c r="F118" s="85">
        <v>9</v>
      </c>
      <c r="G118" s="152">
        <v>791</v>
      </c>
      <c r="H118" s="153">
        <f t="shared" si="25"/>
        <v>3437.72</v>
      </c>
      <c r="I118" s="153">
        <f t="shared" si="34"/>
        <v>3361.78</v>
      </c>
      <c r="J118" s="103">
        <f t="shared" si="36"/>
        <v>2659167.98</v>
      </c>
      <c r="K118" s="154">
        <f t="shared" si="30"/>
        <v>2719236.52</v>
      </c>
      <c r="L118" s="155">
        <f>+J118-K118</f>
        <v>-60068.540000000037</v>
      </c>
      <c r="M118" s="103">
        <f t="shared" si="26"/>
        <v>-4301.2467309640278</v>
      </c>
      <c r="N118" s="156">
        <f t="shared" si="27"/>
        <v>-64369.786730964064</v>
      </c>
      <c r="O118" s="103">
        <v>0</v>
      </c>
      <c r="P118" s="103">
        <v>0</v>
      </c>
      <c r="Q118" s="103">
        <v>0</v>
      </c>
      <c r="R118" s="156">
        <f t="shared" si="28"/>
        <v>-64369.786730964064</v>
      </c>
    </row>
    <row r="119" spans="1:18" x14ac:dyDescent="0.2">
      <c r="A119" s="85">
        <v>4</v>
      </c>
      <c r="B119" s="149">
        <f t="shared" si="35"/>
        <v>45748</v>
      </c>
      <c r="C119" s="168">
        <f t="shared" si="37"/>
        <v>45782</v>
      </c>
      <c r="D119" s="168">
        <f t="shared" si="37"/>
        <v>45803</v>
      </c>
      <c r="E119" s="1" t="s">
        <v>13</v>
      </c>
      <c r="F119" s="85">
        <v>9</v>
      </c>
      <c r="G119" s="152">
        <v>603</v>
      </c>
      <c r="H119" s="153">
        <f t="shared" si="25"/>
        <v>3437.72</v>
      </c>
      <c r="I119" s="153">
        <f t="shared" si="34"/>
        <v>3361.78</v>
      </c>
      <c r="J119" s="103">
        <f t="shared" si="36"/>
        <v>2027153.34</v>
      </c>
      <c r="K119" s="154">
        <f t="shared" si="30"/>
        <v>2072945.16</v>
      </c>
      <c r="L119" s="155">
        <f t="shared" ref="L119:L127" si="38">+J119-K119</f>
        <v>-45791.819999999832</v>
      </c>
      <c r="M119" s="103">
        <f t="shared" si="26"/>
        <v>-3278.9529440850933</v>
      </c>
      <c r="N119" s="156">
        <f t="shared" si="27"/>
        <v>-49070.772944084929</v>
      </c>
      <c r="O119" s="103">
        <v>0</v>
      </c>
      <c r="P119" s="103">
        <v>0</v>
      </c>
      <c r="Q119" s="103">
        <v>0</v>
      </c>
      <c r="R119" s="156">
        <f t="shared" si="28"/>
        <v>-49070.772944084929</v>
      </c>
    </row>
    <row r="120" spans="1:18" x14ac:dyDescent="0.2">
      <c r="A120" s="85">
        <v>5</v>
      </c>
      <c r="B120" s="149">
        <f t="shared" si="35"/>
        <v>45778</v>
      </c>
      <c r="C120" s="168">
        <f t="shared" si="37"/>
        <v>45812</v>
      </c>
      <c r="D120" s="168">
        <f t="shared" si="37"/>
        <v>45832</v>
      </c>
      <c r="E120" s="1" t="s">
        <v>13</v>
      </c>
      <c r="F120" s="85">
        <v>9</v>
      </c>
      <c r="G120" s="152">
        <v>738</v>
      </c>
      <c r="H120" s="153">
        <f t="shared" si="25"/>
        <v>3437.72</v>
      </c>
      <c r="I120" s="153">
        <f t="shared" si="34"/>
        <v>3361.78</v>
      </c>
      <c r="J120" s="103">
        <f t="shared" si="36"/>
        <v>2480993.64</v>
      </c>
      <c r="K120" s="154">
        <f t="shared" si="30"/>
        <v>2537037.36</v>
      </c>
      <c r="L120" s="155">
        <f t="shared" si="38"/>
        <v>-56043.719999999739</v>
      </c>
      <c r="M120" s="103">
        <f t="shared" si="26"/>
        <v>-4013.0468867907111</v>
      </c>
      <c r="N120" s="156">
        <f t="shared" si="27"/>
        <v>-60056.76688679045</v>
      </c>
      <c r="O120" s="103">
        <v>0</v>
      </c>
      <c r="P120" s="103">
        <v>0</v>
      </c>
      <c r="Q120" s="103">
        <v>0</v>
      </c>
      <c r="R120" s="156">
        <f t="shared" si="28"/>
        <v>-60056.76688679045</v>
      </c>
    </row>
    <row r="121" spans="1:18" x14ac:dyDescent="0.2">
      <c r="A121" s="85">
        <v>6</v>
      </c>
      <c r="B121" s="149">
        <f t="shared" si="35"/>
        <v>45809</v>
      </c>
      <c r="C121" s="168">
        <f t="shared" si="37"/>
        <v>45841</v>
      </c>
      <c r="D121" s="168">
        <f t="shared" si="37"/>
        <v>45862</v>
      </c>
      <c r="E121" s="1" t="s">
        <v>13</v>
      </c>
      <c r="F121" s="85">
        <v>9</v>
      </c>
      <c r="G121" s="152">
        <v>849</v>
      </c>
      <c r="H121" s="153">
        <f t="shared" si="25"/>
        <v>3437.72</v>
      </c>
      <c r="I121" s="153">
        <f t="shared" si="34"/>
        <v>3361.78</v>
      </c>
      <c r="J121" s="103">
        <f t="shared" si="36"/>
        <v>2854151.22</v>
      </c>
      <c r="K121" s="154">
        <f t="shared" si="30"/>
        <v>2918624.28</v>
      </c>
      <c r="L121" s="155">
        <f t="shared" si="38"/>
        <v>-64473.05999999959</v>
      </c>
      <c r="M121" s="103">
        <f t="shared" si="26"/>
        <v>-4616.6352396819966</v>
      </c>
      <c r="N121" s="156">
        <f t="shared" si="27"/>
        <v>-69089.69523968159</v>
      </c>
      <c r="O121" s="103">
        <v>0</v>
      </c>
      <c r="P121" s="103">
        <v>0</v>
      </c>
      <c r="Q121" s="103">
        <v>0</v>
      </c>
      <c r="R121" s="156">
        <f t="shared" si="28"/>
        <v>-69089.69523968159</v>
      </c>
    </row>
    <row r="122" spans="1:18" x14ac:dyDescent="0.2">
      <c r="A122" s="85">
        <v>7</v>
      </c>
      <c r="B122" s="149">
        <f t="shared" si="35"/>
        <v>45839</v>
      </c>
      <c r="C122" s="168">
        <f t="shared" si="37"/>
        <v>45874</v>
      </c>
      <c r="D122" s="168">
        <f t="shared" si="37"/>
        <v>45894</v>
      </c>
      <c r="E122" s="1" t="s">
        <v>13</v>
      </c>
      <c r="F122" s="85">
        <v>9</v>
      </c>
      <c r="G122" s="152">
        <v>978</v>
      </c>
      <c r="H122" s="153">
        <f t="shared" si="25"/>
        <v>3437.72</v>
      </c>
      <c r="I122" s="153">
        <f t="shared" si="34"/>
        <v>3361.78</v>
      </c>
      <c r="J122" s="103">
        <f t="shared" si="36"/>
        <v>3287820.8400000003</v>
      </c>
      <c r="K122" s="154">
        <f t="shared" si="30"/>
        <v>3362090.1599999997</v>
      </c>
      <c r="L122" s="155">
        <f t="shared" si="38"/>
        <v>-74269.319999999367</v>
      </c>
      <c r="M122" s="103">
        <f t="shared" si="26"/>
        <v>-5318.1027849340317</v>
      </c>
      <c r="N122" s="156">
        <f t="shared" si="27"/>
        <v>-79587.422784933398</v>
      </c>
      <c r="O122" s="103">
        <v>0</v>
      </c>
      <c r="P122" s="103">
        <v>0</v>
      </c>
      <c r="Q122" s="103">
        <v>0</v>
      </c>
      <c r="R122" s="156">
        <f t="shared" si="28"/>
        <v>-79587.422784933398</v>
      </c>
    </row>
    <row r="123" spans="1:18" x14ac:dyDescent="0.2">
      <c r="A123" s="85">
        <v>8</v>
      </c>
      <c r="B123" s="149">
        <f t="shared" si="35"/>
        <v>45870</v>
      </c>
      <c r="C123" s="168">
        <f t="shared" si="37"/>
        <v>45904</v>
      </c>
      <c r="D123" s="168">
        <f t="shared" si="37"/>
        <v>45924</v>
      </c>
      <c r="E123" s="1" t="s">
        <v>13</v>
      </c>
      <c r="F123" s="85">
        <v>9</v>
      </c>
      <c r="G123" s="152">
        <v>1000</v>
      </c>
      <c r="H123" s="153">
        <f t="shared" si="25"/>
        <v>3437.72</v>
      </c>
      <c r="I123" s="153">
        <f t="shared" si="34"/>
        <v>3361.78</v>
      </c>
      <c r="J123" s="103">
        <f t="shared" si="36"/>
        <v>3361780</v>
      </c>
      <c r="K123" s="154">
        <f t="shared" si="30"/>
        <v>3437720</v>
      </c>
      <c r="L123" s="155">
        <f t="shared" si="38"/>
        <v>-75940</v>
      </c>
      <c r="M123" s="103">
        <f t="shared" si="26"/>
        <v>-5437.7329089305031</v>
      </c>
      <c r="N123" s="156">
        <f t="shared" si="27"/>
        <v>-81377.732908930499</v>
      </c>
      <c r="O123" s="103">
        <v>0</v>
      </c>
      <c r="P123" s="103">
        <v>0</v>
      </c>
      <c r="Q123" s="103">
        <v>0</v>
      </c>
      <c r="R123" s="156">
        <f t="shared" si="28"/>
        <v>-81377.732908930499</v>
      </c>
    </row>
    <row r="124" spans="1:18" x14ac:dyDescent="0.2">
      <c r="A124" s="85">
        <v>9</v>
      </c>
      <c r="B124" s="149">
        <f t="shared" si="35"/>
        <v>45901</v>
      </c>
      <c r="C124" s="168">
        <f t="shared" si="37"/>
        <v>45933</v>
      </c>
      <c r="D124" s="168">
        <f t="shared" si="37"/>
        <v>45954</v>
      </c>
      <c r="E124" s="1" t="s">
        <v>13</v>
      </c>
      <c r="F124" s="85">
        <v>9</v>
      </c>
      <c r="G124" s="152">
        <v>844</v>
      </c>
      <c r="H124" s="153">
        <f t="shared" si="25"/>
        <v>3437.72</v>
      </c>
      <c r="I124" s="153">
        <f t="shared" si="34"/>
        <v>3361.78</v>
      </c>
      <c r="J124" s="103">
        <f t="shared" si="36"/>
        <v>2837342.3200000003</v>
      </c>
      <c r="K124" s="154">
        <f t="shared" si="30"/>
        <v>2901435.6799999997</v>
      </c>
      <c r="L124" s="155">
        <f t="shared" si="38"/>
        <v>-64093.359999999404</v>
      </c>
      <c r="M124" s="103">
        <f t="shared" si="26"/>
        <v>-4589.4465751373446</v>
      </c>
      <c r="N124" s="156">
        <f t="shared" si="27"/>
        <v>-68682.806575136754</v>
      </c>
      <c r="O124" s="103">
        <v>0</v>
      </c>
      <c r="P124" s="103">
        <v>0</v>
      </c>
      <c r="Q124" s="103">
        <v>0</v>
      </c>
      <c r="R124" s="156">
        <f t="shared" si="28"/>
        <v>-68682.806575136754</v>
      </c>
    </row>
    <row r="125" spans="1:18" x14ac:dyDescent="0.2">
      <c r="A125" s="85">
        <v>10</v>
      </c>
      <c r="B125" s="149">
        <f t="shared" si="35"/>
        <v>45931</v>
      </c>
      <c r="C125" s="168">
        <f t="shared" si="37"/>
        <v>45966</v>
      </c>
      <c r="D125" s="168">
        <f t="shared" si="37"/>
        <v>45985</v>
      </c>
      <c r="E125" s="1" t="s">
        <v>13</v>
      </c>
      <c r="F125" s="85">
        <v>9</v>
      </c>
      <c r="G125" s="152">
        <v>760</v>
      </c>
      <c r="H125" s="153">
        <f t="shared" si="25"/>
        <v>3437.72</v>
      </c>
      <c r="I125" s="153">
        <f t="shared" si="34"/>
        <v>3361.78</v>
      </c>
      <c r="J125" s="103">
        <f t="shared" si="36"/>
        <v>2554952.8000000003</v>
      </c>
      <c r="K125" s="154">
        <f t="shared" si="30"/>
        <v>2612667.1999999997</v>
      </c>
      <c r="L125" s="155">
        <f t="shared" si="38"/>
        <v>-57714.399999999441</v>
      </c>
      <c r="M125" s="103">
        <f t="shared" si="26"/>
        <v>-4132.6770107871826</v>
      </c>
      <c r="N125" s="156">
        <f t="shared" si="27"/>
        <v>-61847.077010786626</v>
      </c>
      <c r="O125" s="103">
        <v>0</v>
      </c>
      <c r="P125" s="103">
        <v>0</v>
      </c>
      <c r="Q125" s="103">
        <v>0</v>
      </c>
      <c r="R125" s="156">
        <f t="shared" si="28"/>
        <v>-61847.077010786626</v>
      </c>
    </row>
    <row r="126" spans="1:18" x14ac:dyDescent="0.2">
      <c r="A126" s="85">
        <v>11</v>
      </c>
      <c r="B126" s="149">
        <f t="shared" si="35"/>
        <v>45962</v>
      </c>
      <c r="C126" s="168">
        <f t="shared" si="37"/>
        <v>45994</v>
      </c>
      <c r="D126" s="168">
        <f t="shared" si="37"/>
        <v>46015</v>
      </c>
      <c r="E126" s="1" t="s">
        <v>13</v>
      </c>
      <c r="F126" s="85">
        <v>9</v>
      </c>
      <c r="G126" s="152">
        <v>748</v>
      </c>
      <c r="H126" s="153">
        <f t="shared" si="25"/>
        <v>3437.72</v>
      </c>
      <c r="I126" s="153">
        <f t="shared" si="34"/>
        <v>3361.78</v>
      </c>
      <c r="J126" s="103">
        <f t="shared" si="36"/>
        <v>2514611.44</v>
      </c>
      <c r="K126" s="154">
        <f t="shared" si="30"/>
        <v>2571414.56</v>
      </c>
      <c r="L126" s="155">
        <f t="shared" si="38"/>
        <v>-56803.120000000112</v>
      </c>
      <c r="M126" s="103">
        <f t="shared" si="26"/>
        <v>-4067.4242158800162</v>
      </c>
      <c r="N126" s="156">
        <f t="shared" si="27"/>
        <v>-60870.544215880131</v>
      </c>
      <c r="O126" s="103">
        <v>0</v>
      </c>
      <c r="P126" s="103">
        <v>0</v>
      </c>
      <c r="Q126" s="103">
        <v>0</v>
      </c>
      <c r="R126" s="156">
        <f t="shared" si="28"/>
        <v>-60870.544215880131</v>
      </c>
    </row>
    <row r="127" spans="1:18" s="172" customFormat="1" x14ac:dyDescent="0.2">
      <c r="A127" s="85">
        <v>12</v>
      </c>
      <c r="B127" s="170">
        <f t="shared" si="35"/>
        <v>45992</v>
      </c>
      <c r="C127" s="173">
        <f t="shared" si="37"/>
        <v>46028</v>
      </c>
      <c r="D127" s="173">
        <f t="shared" si="37"/>
        <v>46048</v>
      </c>
      <c r="E127" s="171" t="s">
        <v>13</v>
      </c>
      <c r="F127" s="126">
        <v>9</v>
      </c>
      <c r="G127" s="160">
        <v>1070</v>
      </c>
      <c r="H127" s="161">
        <f t="shared" si="25"/>
        <v>3437.72</v>
      </c>
      <c r="I127" s="161">
        <f t="shared" si="34"/>
        <v>3361.78</v>
      </c>
      <c r="J127" s="162">
        <f t="shared" si="36"/>
        <v>3597104.6</v>
      </c>
      <c r="K127" s="163">
        <f t="shared" si="30"/>
        <v>3678360.4</v>
      </c>
      <c r="L127" s="164">
        <f t="shared" si="38"/>
        <v>-81255.799999999814</v>
      </c>
      <c r="M127" s="162">
        <f t="shared" si="26"/>
        <v>-5818.3742125556382</v>
      </c>
      <c r="N127" s="208">
        <f t="shared" si="27"/>
        <v>-87074.174212555459</v>
      </c>
      <c r="O127" s="162">
        <v>0</v>
      </c>
      <c r="P127" s="162">
        <v>0</v>
      </c>
      <c r="Q127" s="162">
        <v>0</v>
      </c>
      <c r="R127" s="208">
        <f t="shared" si="28"/>
        <v>-87074.174212555459</v>
      </c>
    </row>
    <row r="128" spans="1:18" x14ac:dyDescent="0.2">
      <c r="A128" s="85">
        <v>1</v>
      </c>
      <c r="B128" s="149">
        <f t="shared" si="35"/>
        <v>45658</v>
      </c>
      <c r="C128" s="168">
        <f t="shared" si="37"/>
        <v>45693</v>
      </c>
      <c r="D128" s="168">
        <f t="shared" si="37"/>
        <v>45712</v>
      </c>
      <c r="E128" s="151" t="s">
        <v>15</v>
      </c>
      <c r="F128" s="85">
        <v>9</v>
      </c>
      <c r="G128" s="152">
        <v>7</v>
      </c>
      <c r="H128" s="153">
        <f t="shared" si="25"/>
        <v>3437.72</v>
      </c>
      <c r="I128" s="153">
        <f t="shared" ref="I128:I147" si="39">$J$3</f>
        <v>3361.78</v>
      </c>
      <c r="J128" s="103">
        <f t="shared" si="36"/>
        <v>23532.460000000003</v>
      </c>
      <c r="K128" s="154">
        <f t="shared" si="30"/>
        <v>24064.039999999997</v>
      </c>
      <c r="L128" s="155">
        <f>+J128-K128</f>
        <v>-531.57999999999447</v>
      </c>
      <c r="M128" s="103">
        <f t="shared" si="26"/>
        <v>-38.064130362513517</v>
      </c>
      <c r="N128" s="156">
        <f t="shared" si="27"/>
        <v>-569.64413036250801</v>
      </c>
      <c r="O128" s="103">
        <v>0</v>
      </c>
      <c r="P128" s="103">
        <v>0</v>
      </c>
      <c r="Q128" s="103">
        <v>0</v>
      </c>
      <c r="R128" s="156">
        <f t="shared" si="28"/>
        <v>-569.64413036250801</v>
      </c>
    </row>
    <row r="129" spans="1:18" x14ac:dyDescent="0.2">
      <c r="A129" s="85">
        <v>2</v>
      </c>
      <c r="B129" s="149">
        <f t="shared" si="35"/>
        <v>45689</v>
      </c>
      <c r="C129" s="168">
        <f t="shared" si="37"/>
        <v>45721</v>
      </c>
      <c r="D129" s="168">
        <f t="shared" si="37"/>
        <v>45740</v>
      </c>
      <c r="E129" s="157" t="s">
        <v>15</v>
      </c>
      <c r="F129" s="85">
        <v>9</v>
      </c>
      <c r="G129" s="152">
        <v>8</v>
      </c>
      <c r="H129" s="153">
        <f t="shared" si="25"/>
        <v>3437.72</v>
      </c>
      <c r="I129" s="153">
        <f t="shared" si="39"/>
        <v>3361.78</v>
      </c>
      <c r="J129" s="103">
        <f t="shared" si="36"/>
        <v>26894.240000000002</v>
      </c>
      <c r="K129" s="154">
        <f t="shared" si="30"/>
        <v>27501.759999999998</v>
      </c>
      <c r="L129" s="155">
        <f>+J129-K129</f>
        <v>-607.5199999999968</v>
      </c>
      <c r="M129" s="103">
        <f t="shared" si="26"/>
        <v>-43.501863271444023</v>
      </c>
      <c r="N129" s="156">
        <f t="shared" si="27"/>
        <v>-651.02186327144079</v>
      </c>
      <c r="O129" s="103">
        <v>0</v>
      </c>
      <c r="P129" s="103">
        <v>0</v>
      </c>
      <c r="Q129" s="103">
        <v>0</v>
      </c>
      <c r="R129" s="156">
        <f t="shared" si="28"/>
        <v>-651.02186327144079</v>
      </c>
    </row>
    <row r="130" spans="1:18" x14ac:dyDescent="0.2">
      <c r="A130" s="85">
        <v>3</v>
      </c>
      <c r="B130" s="149">
        <f t="shared" si="35"/>
        <v>45717</v>
      </c>
      <c r="C130" s="168">
        <f t="shared" si="37"/>
        <v>45750</v>
      </c>
      <c r="D130" s="168">
        <f t="shared" si="37"/>
        <v>45771</v>
      </c>
      <c r="E130" s="157" t="s">
        <v>15</v>
      </c>
      <c r="F130" s="85">
        <v>9</v>
      </c>
      <c r="G130" s="152">
        <v>7</v>
      </c>
      <c r="H130" s="153">
        <f t="shared" si="25"/>
        <v>3437.72</v>
      </c>
      <c r="I130" s="153">
        <f t="shared" si="39"/>
        <v>3361.78</v>
      </c>
      <c r="J130" s="103">
        <f t="shared" si="36"/>
        <v>23532.460000000003</v>
      </c>
      <c r="K130" s="154">
        <f t="shared" si="30"/>
        <v>24064.039999999997</v>
      </c>
      <c r="L130" s="155">
        <f>+J130-K130</f>
        <v>-531.57999999999447</v>
      </c>
      <c r="M130" s="103">
        <f t="shared" si="26"/>
        <v>-38.064130362513517</v>
      </c>
      <c r="N130" s="156">
        <f t="shared" si="27"/>
        <v>-569.64413036250801</v>
      </c>
      <c r="O130" s="103">
        <v>0</v>
      </c>
      <c r="P130" s="103">
        <v>0</v>
      </c>
      <c r="Q130" s="103">
        <v>0</v>
      </c>
      <c r="R130" s="156">
        <f t="shared" si="28"/>
        <v>-569.64413036250801</v>
      </c>
    </row>
    <row r="131" spans="1:18" x14ac:dyDescent="0.2">
      <c r="A131" s="85">
        <v>4</v>
      </c>
      <c r="B131" s="149">
        <f t="shared" si="35"/>
        <v>45748</v>
      </c>
      <c r="C131" s="168">
        <f t="shared" si="37"/>
        <v>45782</v>
      </c>
      <c r="D131" s="168">
        <f t="shared" si="37"/>
        <v>45803</v>
      </c>
      <c r="E131" s="157" t="s">
        <v>15</v>
      </c>
      <c r="F131" s="85">
        <v>9</v>
      </c>
      <c r="G131" s="152">
        <v>3</v>
      </c>
      <c r="H131" s="153">
        <f t="shared" si="25"/>
        <v>3437.72</v>
      </c>
      <c r="I131" s="153">
        <f t="shared" si="39"/>
        <v>3361.78</v>
      </c>
      <c r="J131" s="103">
        <f t="shared" si="36"/>
        <v>10085.34</v>
      </c>
      <c r="K131" s="154">
        <f t="shared" si="30"/>
        <v>10313.16</v>
      </c>
      <c r="L131" s="155">
        <f t="shared" ref="L131:L141" si="40">+J131-K131</f>
        <v>-227.81999999999971</v>
      </c>
      <c r="M131" s="103">
        <f t="shared" si="26"/>
        <v>-16.313198726791509</v>
      </c>
      <c r="N131" s="156">
        <f t="shared" si="27"/>
        <v>-244.13319872679122</v>
      </c>
      <c r="O131" s="103">
        <v>0</v>
      </c>
      <c r="P131" s="103">
        <v>0</v>
      </c>
      <c r="Q131" s="103">
        <v>0</v>
      </c>
      <c r="R131" s="156">
        <f t="shared" si="28"/>
        <v>-244.13319872679122</v>
      </c>
    </row>
    <row r="132" spans="1:18" x14ac:dyDescent="0.2">
      <c r="A132" s="85">
        <v>5</v>
      </c>
      <c r="B132" s="149">
        <f t="shared" si="35"/>
        <v>45778</v>
      </c>
      <c r="C132" s="168">
        <f t="shared" si="37"/>
        <v>45812</v>
      </c>
      <c r="D132" s="168">
        <f t="shared" si="37"/>
        <v>45832</v>
      </c>
      <c r="E132" s="1" t="s">
        <v>15</v>
      </c>
      <c r="F132" s="85">
        <v>9</v>
      </c>
      <c r="G132" s="152">
        <v>5</v>
      </c>
      <c r="H132" s="153">
        <f t="shared" si="25"/>
        <v>3437.72</v>
      </c>
      <c r="I132" s="153">
        <f t="shared" si="39"/>
        <v>3361.78</v>
      </c>
      <c r="J132" s="103">
        <f t="shared" si="36"/>
        <v>16808.900000000001</v>
      </c>
      <c r="K132" s="154">
        <f t="shared" si="30"/>
        <v>17188.599999999999</v>
      </c>
      <c r="L132" s="155">
        <f t="shared" si="40"/>
        <v>-379.69999999999709</v>
      </c>
      <c r="M132" s="103">
        <f t="shared" si="26"/>
        <v>-27.188664544652514</v>
      </c>
      <c r="N132" s="156">
        <f t="shared" si="27"/>
        <v>-406.8886645446496</v>
      </c>
      <c r="O132" s="103">
        <v>0</v>
      </c>
      <c r="P132" s="103">
        <v>0</v>
      </c>
      <c r="Q132" s="103">
        <v>0</v>
      </c>
      <c r="R132" s="156">
        <f t="shared" si="28"/>
        <v>-406.8886645446496</v>
      </c>
    </row>
    <row r="133" spans="1:18" x14ac:dyDescent="0.2">
      <c r="A133" s="85">
        <v>6</v>
      </c>
      <c r="B133" s="149">
        <f t="shared" si="35"/>
        <v>45809</v>
      </c>
      <c r="C133" s="168">
        <f t="shared" si="37"/>
        <v>45841</v>
      </c>
      <c r="D133" s="168">
        <f t="shared" si="37"/>
        <v>45862</v>
      </c>
      <c r="E133" s="1" t="s">
        <v>15</v>
      </c>
      <c r="F133" s="85">
        <v>9</v>
      </c>
      <c r="G133" s="152">
        <v>10</v>
      </c>
      <c r="H133" s="153">
        <f t="shared" si="25"/>
        <v>3437.72</v>
      </c>
      <c r="I133" s="153">
        <f t="shared" si="39"/>
        <v>3361.78</v>
      </c>
      <c r="J133" s="103">
        <f t="shared" si="36"/>
        <v>33617.800000000003</v>
      </c>
      <c r="K133" s="154">
        <f t="shared" si="30"/>
        <v>34377.199999999997</v>
      </c>
      <c r="L133" s="155">
        <f t="shared" si="40"/>
        <v>-759.39999999999418</v>
      </c>
      <c r="M133" s="103">
        <f t="shared" si="26"/>
        <v>-54.377329089305029</v>
      </c>
      <c r="N133" s="156">
        <f t="shared" si="27"/>
        <v>-813.7773290892992</v>
      </c>
      <c r="O133" s="103">
        <v>0</v>
      </c>
      <c r="P133" s="103">
        <v>0</v>
      </c>
      <c r="Q133" s="103">
        <v>0</v>
      </c>
      <c r="R133" s="156">
        <f t="shared" si="28"/>
        <v>-813.7773290892992</v>
      </c>
    </row>
    <row r="134" spans="1:18" x14ac:dyDescent="0.2">
      <c r="A134" s="85">
        <v>7</v>
      </c>
      <c r="B134" s="149">
        <f t="shared" si="35"/>
        <v>45839</v>
      </c>
      <c r="C134" s="168">
        <f t="shared" si="37"/>
        <v>45874</v>
      </c>
      <c r="D134" s="168">
        <f t="shared" si="37"/>
        <v>45894</v>
      </c>
      <c r="E134" s="1" t="s">
        <v>15</v>
      </c>
      <c r="F134" s="85">
        <v>9</v>
      </c>
      <c r="G134" s="152">
        <v>17</v>
      </c>
      <c r="H134" s="153">
        <f t="shared" si="25"/>
        <v>3437.72</v>
      </c>
      <c r="I134" s="153">
        <f t="shared" si="39"/>
        <v>3361.78</v>
      </c>
      <c r="J134" s="103">
        <f t="shared" si="36"/>
        <v>57150.26</v>
      </c>
      <c r="K134" s="154">
        <f t="shared" ref="K134:K197" si="41">+$G134*H134</f>
        <v>58441.24</v>
      </c>
      <c r="L134" s="155">
        <f t="shared" si="40"/>
        <v>-1290.9799999999959</v>
      </c>
      <c r="M134" s="103">
        <f t="shared" si="26"/>
        <v>-92.441459451818545</v>
      </c>
      <c r="N134" s="156">
        <f t="shared" si="27"/>
        <v>-1383.4214594518144</v>
      </c>
      <c r="O134" s="103">
        <v>0</v>
      </c>
      <c r="P134" s="103">
        <v>0</v>
      </c>
      <c r="Q134" s="103">
        <v>0</v>
      </c>
      <c r="R134" s="156">
        <f t="shared" si="28"/>
        <v>-1383.4214594518144</v>
      </c>
    </row>
    <row r="135" spans="1:18" x14ac:dyDescent="0.2">
      <c r="A135" s="85">
        <v>8</v>
      </c>
      <c r="B135" s="149">
        <f t="shared" si="35"/>
        <v>45870</v>
      </c>
      <c r="C135" s="168">
        <f t="shared" si="37"/>
        <v>45904</v>
      </c>
      <c r="D135" s="168">
        <f t="shared" si="37"/>
        <v>45924</v>
      </c>
      <c r="E135" s="1" t="s">
        <v>15</v>
      </c>
      <c r="F135" s="85">
        <v>9</v>
      </c>
      <c r="G135" s="152">
        <v>16</v>
      </c>
      <c r="H135" s="153">
        <f t="shared" si="25"/>
        <v>3437.72</v>
      </c>
      <c r="I135" s="153">
        <f t="shared" si="39"/>
        <v>3361.78</v>
      </c>
      <c r="J135" s="103">
        <f t="shared" si="36"/>
        <v>53788.480000000003</v>
      </c>
      <c r="K135" s="154">
        <f t="shared" si="41"/>
        <v>55003.519999999997</v>
      </c>
      <c r="L135" s="155">
        <f t="shared" si="40"/>
        <v>-1215.0399999999936</v>
      </c>
      <c r="M135" s="103">
        <f t="shared" si="26"/>
        <v>-87.003726542888046</v>
      </c>
      <c r="N135" s="156">
        <f t="shared" si="27"/>
        <v>-1302.0437265428816</v>
      </c>
      <c r="O135" s="103">
        <v>0</v>
      </c>
      <c r="P135" s="103">
        <v>0</v>
      </c>
      <c r="Q135" s="103">
        <v>0</v>
      </c>
      <c r="R135" s="156">
        <f t="shared" si="28"/>
        <v>-1302.0437265428816</v>
      </c>
    </row>
    <row r="136" spans="1:18" x14ac:dyDescent="0.2">
      <c r="A136" s="85">
        <v>9</v>
      </c>
      <c r="B136" s="149">
        <f t="shared" si="35"/>
        <v>45901</v>
      </c>
      <c r="C136" s="168">
        <f t="shared" si="37"/>
        <v>45933</v>
      </c>
      <c r="D136" s="168">
        <f t="shared" si="37"/>
        <v>45954</v>
      </c>
      <c r="E136" s="1" t="s">
        <v>15</v>
      </c>
      <c r="F136" s="85">
        <v>9</v>
      </c>
      <c r="G136" s="152">
        <v>8</v>
      </c>
      <c r="H136" s="153">
        <f t="shared" si="25"/>
        <v>3437.72</v>
      </c>
      <c r="I136" s="153">
        <f t="shared" si="39"/>
        <v>3361.78</v>
      </c>
      <c r="J136" s="103">
        <f t="shared" si="36"/>
        <v>26894.240000000002</v>
      </c>
      <c r="K136" s="154">
        <f t="shared" si="41"/>
        <v>27501.759999999998</v>
      </c>
      <c r="L136" s="155">
        <f t="shared" si="40"/>
        <v>-607.5199999999968</v>
      </c>
      <c r="M136" s="103">
        <f t="shared" si="26"/>
        <v>-43.501863271444023</v>
      </c>
      <c r="N136" s="156">
        <f t="shared" si="27"/>
        <v>-651.02186327144079</v>
      </c>
      <c r="O136" s="103">
        <v>0</v>
      </c>
      <c r="P136" s="103">
        <v>0</v>
      </c>
      <c r="Q136" s="103">
        <v>0</v>
      </c>
      <c r="R136" s="156">
        <f t="shared" si="28"/>
        <v>-651.02186327144079</v>
      </c>
    </row>
    <row r="137" spans="1:18" x14ac:dyDescent="0.2">
      <c r="A137" s="85">
        <v>10</v>
      </c>
      <c r="B137" s="149">
        <f t="shared" si="35"/>
        <v>45931</v>
      </c>
      <c r="C137" s="168">
        <f t="shared" si="37"/>
        <v>45966</v>
      </c>
      <c r="D137" s="168">
        <f t="shared" si="37"/>
        <v>45985</v>
      </c>
      <c r="E137" s="1" t="s">
        <v>15</v>
      </c>
      <c r="F137" s="85">
        <v>9</v>
      </c>
      <c r="G137" s="152">
        <v>8</v>
      </c>
      <c r="H137" s="153">
        <f t="shared" si="25"/>
        <v>3437.72</v>
      </c>
      <c r="I137" s="153">
        <f t="shared" si="39"/>
        <v>3361.78</v>
      </c>
      <c r="J137" s="103">
        <f t="shared" si="36"/>
        <v>26894.240000000002</v>
      </c>
      <c r="K137" s="154">
        <f t="shared" si="41"/>
        <v>27501.759999999998</v>
      </c>
      <c r="L137" s="155">
        <f t="shared" si="40"/>
        <v>-607.5199999999968</v>
      </c>
      <c r="M137" s="103">
        <f t="shared" si="26"/>
        <v>-43.501863271444023</v>
      </c>
      <c r="N137" s="156">
        <f t="shared" si="27"/>
        <v>-651.02186327144079</v>
      </c>
      <c r="O137" s="103">
        <v>0</v>
      </c>
      <c r="P137" s="103">
        <v>0</v>
      </c>
      <c r="Q137" s="103">
        <v>0</v>
      </c>
      <c r="R137" s="156">
        <f t="shared" si="28"/>
        <v>-651.02186327144079</v>
      </c>
    </row>
    <row r="138" spans="1:18" x14ac:dyDescent="0.2">
      <c r="A138" s="85">
        <v>11</v>
      </c>
      <c r="B138" s="149">
        <f t="shared" si="35"/>
        <v>45962</v>
      </c>
      <c r="C138" s="168">
        <f t="shared" si="37"/>
        <v>45994</v>
      </c>
      <c r="D138" s="168">
        <f t="shared" si="37"/>
        <v>46015</v>
      </c>
      <c r="E138" s="1" t="s">
        <v>15</v>
      </c>
      <c r="F138" s="85">
        <v>9</v>
      </c>
      <c r="G138" s="152">
        <v>6</v>
      </c>
      <c r="H138" s="153">
        <f t="shared" si="25"/>
        <v>3437.72</v>
      </c>
      <c r="I138" s="153">
        <f t="shared" si="39"/>
        <v>3361.78</v>
      </c>
      <c r="J138" s="103">
        <f t="shared" si="36"/>
        <v>20170.68</v>
      </c>
      <c r="K138" s="154">
        <f t="shared" si="41"/>
        <v>20626.32</v>
      </c>
      <c r="L138" s="155">
        <f t="shared" si="40"/>
        <v>-455.63999999999942</v>
      </c>
      <c r="M138" s="103">
        <f t="shared" si="26"/>
        <v>-32.626397453583017</v>
      </c>
      <c r="N138" s="156">
        <f t="shared" si="27"/>
        <v>-488.26639745358244</v>
      </c>
      <c r="O138" s="103">
        <v>0</v>
      </c>
      <c r="P138" s="103">
        <v>0</v>
      </c>
      <c r="Q138" s="103">
        <v>0</v>
      </c>
      <c r="R138" s="156">
        <f t="shared" si="28"/>
        <v>-488.26639745358244</v>
      </c>
    </row>
    <row r="139" spans="1:18" s="172" customFormat="1" x14ac:dyDescent="0.2">
      <c r="A139" s="85">
        <v>12</v>
      </c>
      <c r="B139" s="170">
        <f t="shared" si="35"/>
        <v>45992</v>
      </c>
      <c r="C139" s="168">
        <f t="shared" si="37"/>
        <v>46028</v>
      </c>
      <c r="D139" s="168">
        <f t="shared" si="37"/>
        <v>46048</v>
      </c>
      <c r="E139" s="171" t="s">
        <v>15</v>
      </c>
      <c r="F139" s="126">
        <v>9</v>
      </c>
      <c r="G139" s="160">
        <v>7</v>
      </c>
      <c r="H139" s="161">
        <f t="shared" si="25"/>
        <v>3437.72</v>
      </c>
      <c r="I139" s="161">
        <f t="shared" si="39"/>
        <v>3361.78</v>
      </c>
      <c r="J139" s="162">
        <f t="shared" si="36"/>
        <v>23532.460000000003</v>
      </c>
      <c r="K139" s="163">
        <f t="shared" si="41"/>
        <v>24064.039999999997</v>
      </c>
      <c r="L139" s="164">
        <f t="shared" si="40"/>
        <v>-531.57999999999447</v>
      </c>
      <c r="M139" s="162">
        <f t="shared" si="26"/>
        <v>-38.064130362513517</v>
      </c>
      <c r="N139" s="208">
        <f t="shared" si="27"/>
        <v>-569.64413036250801</v>
      </c>
      <c r="O139" s="162">
        <v>0</v>
      </c>
      <c r="P139" s="162">
        <v>0</v>
      </c>
      <c r="Q139" s="162">
        <v>0</v>
      </c>
      <c r="R139" s="208">
        <f t="shared" si="28"/>
        <v>-569.64413036250801</v>
      </c>
    </row>
    <row r="140" spans="1:18" x14ac:dyDescent="0.2">
      <c r="A140" s="85">
        <v>1</v>
      </c>
      <c r="B140" s="149">
        <f t="shared" si="35"/>
        <v>45658</v>
      </c>
      <c r="C140" s="166">
        <f t="shared" ref="C140:D151" si="42">+C128</f>
        <v>45693</v>
      </c>
      <c r="D140" s="166">
        <f t="shared" si="42"/>
        <v>45712</v>
      </c>
      <c r="E140" s="175" t="s">
        <v>16</v>
      </c>
      <c r="F140" s="85">
        <v>9</v>
      </c>
      <c r="G140" s="152">
        <v>2</v>
      </c>
      <c r="H140" s="153">
        <f t="shared" si="25"/>
        <v>3437.72</v>
      </c>
      <c r="I140" s="153">
        <f t="shared" si="39"/>
        <v>3361.78</v>
      </c>
      <c r="J140" s="103">
        <f t="shared" si="36"/>
        <v>6723.56</v>
      </c>
      <c r="K140" s="154">
        <f t="shared" si="41"/>
        <v>6875.44</v>
      </c>
      <c r="L140" s="155">
        <f t="shared" si="40"/>
        <v>-151.8799999999992</v>
      </c>
      <c r="M140" s="103">
        <f t="shared" si="26"/>
        <v>-10.875465817861006</v>
      </c>
      <c r="N140" s="156">
        <f t="shared" si="27"/>
        <v>-162.7554658178602</v>
      </c>
      <c r="O140" s="103">
        <v>0</v>
      </c>
      <c r="P140" s="103">
        <v>0</v>
      </c>
      <c r="Q140" s="103">
        <v>0</v>
      </c>
      <c r="R140" s="156">
        <f t="shared" si="28"/>
        <v>-162.7554658178602</v>
      </c>
    </row>
    <row r="141" spans="1:18" x14ac:dyDescent="0.2">
      <c r="A141" s="85">
        <v>2</v>
      </c>
      <c r="B141" s="149">
        <f t="shared" si="35"/>
        <v>45689</v>
      </c>
      <c r="C141" s="168">
        <f t="shared" si="42"/>
        <v>45721</v>
      </c>
      <c r="D141" s="168">
        <f t="shared" si="42"/>
        <v>45740</v>
      </c>
      <c r="E141" s="1" t="s">
        <v>16</v>
      </c>
      <c r="F141" s="85">
        <v>9</v>
      </c>
      <c r="G141" s="152">
        <v>3</v>
      </c>
      <c r="H141" s="153">
        <f t="shared" si="25"/>
        <v>3437.72</v>
      </c>
      <c r="I141" s="153">
        <f t="shared" si="39"/>
        <v>3361.78</v>
      </c>
      <c r="J141" s="103">
        <f t="shared" si="36"/>
        <v>10085.34</v>
      </c>
      <c r="K141" s="154">
        <f t="shared" si="41"/>
        <v>10313.16</v>
      </c>
      <c r="L141" s="155">
        <f t="shared" si="40"/>
        <v>-227.81999999999971</v>
      </c>
      <c r="M141" s="103">
        <f t="shared" si="26"/>
        <v>-16.313198726791509</v>
      </c>
      <c r="N141" s="156">
        <f t="shared" si="27"/>
        <v>-244.13319872679122</v>
      </c>
      <c r="O141" s="103">
        <v>0</v>
      </c>
      <c r="P141" s="103">
        <v>0</v>
      </c>
      <c r="Q141" s="103">
        <v>0</v>
      </c>
      <c r="R141" s="156">
        <f t="shared" si="28"/>
        <v>-244.13319872679122</v>
      </c>
    </row>
    <row r="142" spans="1:18" x14ac:dyDescent="0.2">
      <c r="A142" s="85">
        <v>3</v>
      </c>
      <c r="B142" s="149">
        <f t="shared" si="35"/>
        <v>45717</v>
      </c>
      <c r="C142" s="168">
        <f t="shared" si="42"/>
        <v>45750</v>
      </c>
      <c r="D142" s="168">
        <f t="shared" si="42"/>
        <v>45771</v>
      </c>
      <c r="E142" s="1" t="s">
        <v>16</v>
      </c>
      <c r="F142" s="85">
        <v>9</v>
      </c>
      <c r="G142" s="152">
        <v>2</v>
      </c>
      <c r="H142" s="153">
        <f t="shared" si="25"/>
        <v>3437.72</v>
      </c>
      <c r="I142" s="153">
        <f t="shared" si="39"/>
        <v>3361.78</v>
      </c>
      <c r="J142" s="103">
        <f t="shared" si="36"/>
        <v>6723.56</v>
      </c>
      <c r="K142" s="154">
        <f t="shared" si="41"/>
        <v>6875.44</v>
      </c>
      <c r="L142" s="155">
        <f>+J142-K142</f>
        <v>-151.8799999999992</v>
      </c>
      <c r="M142" s="103">
        <f t="shared" si="26"/>
        <v>-10.875465817861006</v>
      </c>
      <c r="N142" s="156">
        <f t="shared" si="27"/>
        <v>-162.7554658178602</v>
      </c>
      <c r="O142" s="103">
        <v>0</v>
      </c>
      <c r="P142" s="103">
        <v>0</v>
      </c>
      <c r="Q142" s="103">
        <v>0</v>
      </c>
      <c r="R142" s="156">
        <f t="shared" si="28"/>
        <v>-162.7554658178602</v>
      </c>
    </row>
    <row r="143" spans="1:18" x14ac:dyDescent="0.2">
      <c r="A143" s="85">
        <v>4</v>
      </c>
      <c r="B143" s="149">
        <f t="shared" si="35"/>
        <v>45748</v>
      </c>
      <c r="C143" s="168">
        <f t="shared" si="42"/>
        <v>45782</v>
      </c>
      <c r="D143" s="168">
        <f t="shared" si="42"/>
        <v>45803</v>
      </c>
      <c r="E143" s="1" t="s">
        <v>16</v>
      </c>
      <c r="F143" s="85">
        <v>9</v>
      </c>
      <c r="G143" s="152">
        <v>1</v>
      </c>
      <c r="H143" s="153">
        <f t="shared" si="25"/>
        <v>3437.72</v>
      </c>
      <c r="I143" s="153">
        <f t="shared" si="39"/>
        <v>3361.78</v>
      </c>
      <c r="J143" s="103">
        <f t="shared" si="36"/>
        <v>3361.78</v>
      </c>
      <c r="K143" s="154">
        <f t="shared" si="41"/>
        <v>3437.72</v>
      </c>
      <c r="L143" s="155">
        <f t="shared" ref="L143:L153" si="43">+J143-K143</f>
        <v>-75.9399999999996</v>
      </c>
      <c r="M143" s="103">
        <f t="shared" si="26"/>
        <v>-5.4377329089305029</v>
      </c>
      <c r="N143" s="156">
        <f t="shared" si="27"/>
        <v>-81.377732908930099</v>
      </c>
      <c r="O143" s="103">
        <v>0</v>
      </c>
      <c r="P143" s="103">
        <v>0</v>
      </c>
      <c r="Q143" s="103">
        <v>0</v>
      </c>
      <c r="R143" s="156">
        <f t="shared" si="28"/>
        <v>-81.377732908930099</v>
      </c>
    </row>
    <row r="144" spans="1:18" x14ac:dyDescent="0.2">
      <c r="A144" s="85">
        <v>5</v>
      </c>
      <c r="B144" s="149">
        <f t="shared" si="35"/>
        <v>45778</v>
      </c>
      <c r="C144" s="168">
        <f t="shared" si="42"/>
        <v>45812</v>
      </c>
      <c r="D144" s="168">
        <f t="shared" si="42"/>
        <v>45832</v>
      </c>
      <c r="E144" s="1" t="s">
        <v>16</v>
      </c>
      <c r="F144" s="85">
        <v>9</v>
      </c>
      <c r="G144" s="152">
        <v>2</v>
      </c>
      <c r="H144" s="153">
        <f t="shared" si="25"/>
        <v>3437.72</v>
      </c>
      <c r="I144" s="153">
        <f t="shared" si="39"/>
        <v>3361.78</v>
      </c>
      <c r="J144" s="103">
        <f t="shared" si="36"/>
        <v>6723.56</v>
      </c>
      <c r="K144" s="154">
        <f t="shared" si="41"/>
        <v>6875.44</v>
      </c>
      <c r="L144" s="155">
        <f t="shared" si="43"/>
        <v>-151.8799999999992</v>
      </c>
      <c r="M144" s="103">
        <f t="shared" si="26"/>
        <v>-10.875465817861006</v>
      </c>
      <c r="N144" s="156">
        <f t="shared" si="27"/>
        <v>-162.7554658178602</v>
      </c>
      <c r="O144" s="103">
        <v>0</v>
      </c>
      <c r="P144" s="103">
        <v>0</v>
      </c>
      <c r="Q144" s="103">
        <v>0</v>
      </c>
      <c r="R144" s="156">
        <f t="shared" si="28"/>
        <v>-162.7554658178602</v>
      </c>
    </row>
    <row r="145" spans="1:18" x14ac:dyDescent="0.2">
      <c r="A145" s="85">
        <v>6</v>
      </c>
      <c r="B145" s="149">
        <f t="shared" si="35"/>
        <v>45809</v>
      </c>
      <c r="C145" s="168">
        <f t="shared" si="42"/>
        <v>45841</v>
      </c>
      <c r="D145" s="168">
        <f t="shared" si="42"/>
        <v>45862</v>
      </c>
      <c r="E145" s="1" t="s">
        <v>16</v>
      </c>
      <c r="F145" s="85">
        <v>9</v>
      </c>
      <c r="G145" s="152">
        <v>3</v>
      </c>
      <c r="H145" s="153">
        <f t="shared" si="25"/>
        <v>3437.72</v>
      </c>
      <c r="I145" s="153">
        <f t="shared" si="39"/>
        <v>3361.78</v>
      </c>
      <c r="J145" s="103">
        <f t="shared" si="36"/>
        <v>10085.34</v>
      </c>
      <c r="K145" s="154">
        <f t="shared" si="41"/>
        <v>10313.16</v>
      </c>
      <c r="L145" s="155">
        <f t="shared" si="43"/>
        <v>-227.81999999999971</v>
      </c>
      <c r="M145" s="103">
        <f t="shared" si="26"/>
        <v>-16.313198726791509</v>
      </c>
      <c r="N145" s="156">
        <f t="shared" si="27"/>
        <v>-244.13319872679122</v>
      </c>
      <c r="O145" s="103">
        <v>0</v>
      </c>
      <c r="P145" s="103">
        <v>0</v>
      </c>
      <c r="Q145" s="103">
        <v>0</v>
      </c>
      <c r="R145" s="156">
        <f t="shared" si="28"/>
        <v>-244.13319872679122</v>
      </c>
    </row>
    <row r="146" spans="1:18" x14ac:dyDescent="0.2">
      <c r="A146" s="85">
        <v>7</v>
      </c>
      <c r="B146" s="149">
        <f t="shared" si="35"/>
        <v>45839</v>
      </c>
      <c r="C146" s="168">
        <f t="shared" si="42"/>
        <v>45874</v>
      </c>
      <c r="D146" s="168">
        <f t="shared" si="42"/>
        <v>45894</v>
      </c>
      <c r="E146" s="1" t="s">
        <v>16</v>
      </c>
      <c r="F146" s="85">
        <v>9</v>
      </c>
      <c r="G146" s="152">
        <v>7</v>
      </c>
      <c r="H146" s="153">
        <f t="shared" si="25"/>
        <v>3437.72</v>
      </c>
      <c r="I146" s="153">
        <f t="shared" si="39"/>
        <v>3361.78</v>
      </c>
      <c r="J146" s="103">
        <f t="shared" si="36"/>
        <v>23532.460000000003</v>
      </c>
      <c r="K146" s="154">
        <f t="shared" si="41"/>
        <v>24064.039999999997</v>
      </c>
      <c r="L146" s="155">
        <f t="shared" si="43"/>
        <v>-531.57999999999447</v>
      </c>
      <c r="M146" s="103">
        <f t="shared" si="26"/>
        <v>-38.064130362513517</v>
      </c>
      <c r="N146" s="156">
        <f t="shared" si="27"/>
        <v>-569.64413036250801</v>
      </c>
      <c r="O146" s="103">
        <v>0</v>
      </c>
      <c r="P146" s="103">
        <v>0</v>
      </c>
      <c r="Q146" s="103">
        <v>0</v>
      </c>
      <c r="R146" s="156">
        <f t="shared" si="28"/>
        <v>-569.64413036250801</v>
      </c>
    </row>
    <row r="147" spans="1:18" x14ac:dyDescent="0.2">
      <c r="A147" s="85">
        <v>8</v>
      </c>
      <c r="B147" s="149">
        <f t="shared" si="35"/>
        <v>45870</v>
      </c>
      <c r="C147" s="168">
        <f t="shared" si="42"/>
        <v>45904</v>
      </c>
      <c r="D147" s="168">
        <f t="shared" si="42"/>
        <v>45924</v>
      </c>
      <c r="E147" s="1" t="s">
        <v>16</v>
      </c>
      <c r="F147" s="85">
        <v>9</v>
      </c>
      <c r="G147" s="152">
        <v>5</v>
      </c>
      <c r="H147" s="153">
        <f t="shared" si="25"/>
        <v>3437.72</v>
      </c>
      <c r="I147" s="153">
        <f t="shared" si="39"/>
        <v>3361.78</v>
      </c>
      <c r="J147" s="103">
        <f t="shared" si="36"/>
        <v>16808.900000000001</v>
      </c>
      <c r="K147" s="154">
        <f t="shared" si="41"/>
        <v>17188.599999999999</v>
      </c>
      <c r="L147" s="155">
        <f t="shared" si="43"/>
        <v>-379.69999999999709</v>
      </c>
      <c r="M147" s="103">
        <f t="shared" si="26"/>
        <v>-27.188664544652514</v>
      </c>
      <c r="N147" s="156">
        <f t="shared" si="27"/>
        <v>-406.8886645446496</v>
      </c>
      <c r="O147" s="103">
        <v>0</v>
      </c>
      <c r="P147" s="103">
        <v>0</v>
      </c>
      <c r="Q147" s="103">
        <v>0</v>
      </c>
      <c r="R147" s="156">
        <f t="shared" si="28"/>
        <v>-406.8886645446496</v>
      </c>
    </row>
    <row r="148" spans="1:18" x14ac:dyDescent="0.2">
      <c r="A148" s="85">
        <v>9</v>
      </c>
      <c r="B148" s="149">
        <f t="shared" si="35"/>
        <v>45901</v>
      </c>
      <c r="C148" s="168">
        <f t="shared" si="42"/>
        <v>45933</v>
      </c>
      <c r="D148" s="168">
        <f t="shared" si="42"/>
        <v>45954</v>
      </c>
      <c r="E148" s="1" t="s">
        <v>16</v>
      </c>
      <c r="F148" s="85">
        <v>9</v>
      </c>
      <c r="G148" s="152">
        <v>2</v>
      </c>
      <c r="H148" s="153">
        <f t="shared" si="25"/>
        <v>3437.72</v>
      </c>
      <c r="I148" s="153">
        <f t="shared" ref="I148:I179" si="44">$J$3</f>
        <v>3361.78</v>
      </c>
      <c r="J148" s="103">
        <f t="shared" si="36"/>
        <v>6723.56</v>
      </c>
      <c r="K148" s="154">
        <f t="shared" si="41"/>
        <v>6875.44</v>
      </c>
      <c r="L148" s="155">
        <f t="shared" si="43"/>
        <v>-151.8799999999992</v>
      </c>
      <c r="M148" s="103">
        <f t="shared" si="26"/>
        <v>-10.875465817861006</v>
      </c>
      <c r="N148" s="156">
        <f t="shared" si="27"/>
        <v>-162.7554658178602</v>
      </c>
      <c r="O148" s="103">
        <v>0</v>
      </c>
      <c r="P148" s="103">
        <v>0</v>
      </c>
      <c r="Q148" s="103">
        <v>0</v>
      </c>
      <c r="R148" s="156">
        <f t="shared" si="28"/>
        <v>-162.7554658178602</v>
      </c>
    </row>
    <row r="149" spans="1:18" x14ac:dyDescent="0.2">
      <c r="A149" s="85">
        <v>10</v>
      </c>
      <c r="B149" s="149">
        <f t="shared" ref="B149:B211" si="45">DATE($R$1,A149,1)</f>
        <v>45931</v>
      </c>
      <c r="C149" s="168">
        <f t="shared" si="42"/>
        <v>45966</v>
      </c>
      <c r="D149" s="168">
        <f t="shared" si="42"/>
        <v>45985</v>
      </c>
      <c r="E149" s="1" t="s">
        <v>16</v>
      </c>
      <c r="F149" s="85">
        <v>9</v>
      </c>
      <c r="G149" s="152">
        <v>3</v>
      </c>
      <c r="H149" s="153">
        <f t="shared" ref="H149:H211" si="46">+$K$3</f>
        <v>3437.72</v>
      </c>
      <c r="I149" s="153">
        <f t="shared" si="44"/>
        <v>3361.78</v>
      </c>
      <c r="J149" s="103">
        <f t="shared" ref="J149:J211" si="47">+$G149*I149</f>
        <v>10085.34</v>
      </c>
      <c r="K149" s="154">
        <f t="shared" si="41"/>
        <v>10313.16</v>
      </c>
      <c r="L149" s="155">
        <f t="shared" si="43"/>
        <v>-227.81999999999971</v>
      </c>
      <c r="M149" s="103">
        <f t="shared" ref="M149:M211" si="48">G149/$G$212*$M$14</f>
        <v>-16.313198726791509</v>
      </c>
      <c r="N149" s="156">
        <f t="shared" ref="N149:N211" si="49">SUM(L149:M149)</f>
        <v>-244.13319872679122</v>
      </c>
      <c r="O149" s="103">
        <v>0</v>
      </c>
      <c r="P149" s="103">
        <v>0</v>
      </c>
      <c r="Q149" s="103">
        <v>0</v>
      </c>
      <c r="R149" s="156">
        <f t="shared" ref="R149:R211" si="50">+N149-Q149</f>
        <v>-244.13319872679122</v>
      </c>
    </row>
    <row r="150" spans="1:18" x14ac:dyDescent="0.2">
      <c r="A150" s="85">
        <v>11</v>
      </c>
      <c r="B150" s="149">
        <f t="shared" si="45"/>
        <v>45962</v>
      </c>
      <c r="C150" s="168">
        <f t="shared" si="42"/>
        <v>45994</v>
      </c>
      <c r="D150" s="168">
        <f t="shared" si="42"/>
        <v>46015</v>
      </c>
      <c r="E150" s="1" t="s">
        <v>16</v>
      </c>
      <c r="F150" s="85">
        <v>9</v>
      </c>
      <c r="G150" s="152">
        <v>1</v>
      </c>
      <c r="H150" s="153">
        <f t="shared" si="46"/>
        <v>3437.72</v>
      </c>
      <c r="I150" s="153">
        <f t="shared" si="44"/>
        <v>3361.78</v>
      </c>
      <c r="J150" s="103">
        <f t="shared" si="47"/>
        <v>3361.78</v>
      </c>
      <c r="K150" s="154">
        <f t="shared" si="41"/>
        <v>3437.72</v>
      </c>
      <c r="L150" s="155">
        <f t="shared" si="43"/>
        <v>-75.9399999999996</v>
      </c>
      <c r="M150" s="103">
        <f t="shared" si="48"/>
        <v>-5.4377329089305029</v>
      </c>
      <c r="N150" s="156">
        <f t="shared" si="49"/>
        <v>-81.377732908930099</v>
      </c>
      <c r="O150" s="103">
        <v>0</v>
      </c>
      <c r="P150" s="103">
        <v>0</v>
      </c>
      <c r="Q150" s="103">
        <v>0</v>
      </c>
      <c r="R150" s="156">
        <f t="shared" si="50"/>
        <v>-81.377732908930099</v>
      </c>
    </row>
    <row r="151" spans="1:18" s="172" customFormat="1" x14ac:dyDescent="0.2">
      <c r="A151" s="85">
        <v>12</v>
      </c>
      <c r="B151" s="170">
        <f t="shared" si="45"/>
        <v>45992</v>
      </c>
      <c r="C151" s="168">
        <f t="shared" si="42"/>
        <v>46028</v>
      </c>
      <c r="D151" s="168">
        <f t="shared" si="42"/>
        <v>46048</v>
      </c>
      <c r="E151" s="171" t="s">
        <v>16</v>
      </c>
      <c r="F151" s="126">
        <v>9</v>
      </c>
      <c r="G151" s="160">
        <v>2</v>
      </c>
      <c r="H151" s="161">
        <f t="shared" si="46"/>
        <v>3437.72</v>
      </c>
      <c r="I151" s="161">
        <f t="shared" si="44"/>
        <v>3361.78</v>
      </c>
      <c r="J151" s="162">
        <f t="shared" si="47"/>
        <v>6723.56</v>
      </c>
      <c r="K151" s="163">
        <f t="shared" si="41"/>
        <v>6875.44</v>
      </c>
      <c r="L151" s="164">
        <f t="shared" si="43"/>
        <v>-151.8799999999992</v>
      </c>
      <c r="M151" s="162">
        <f t="shared" si="48"/>
        <v>-10.875465817861006</v>
      </c>
      <c r="N151" s="208">
        <f t="shared" si="49"/>
        <v>-162.7554658178602</v>
      </c>
      <c r="O151" s="162">
        <v>0</v>
      </c>
      <c r="P151" s="162">
        <v>0</v>
      </c>
      <c r="Q151" s="162">
        <v>0</v>
      </c>
      <c r="R151" s="208">
        <f t="shared" si="50"/>
        <v>-162.7554658178602</v>
      </c>
    </row>
    <row r="152" spans="1:18" x14ac:dyDescent="0.2">
      <c r="A152" s="85">
        <v>1</v>
      </c>
      <c r="B152" s="149">
        <f t="shared" si="45"/>
        <v>45658</v>
      </c>
      <c r="C152" s="166">
        <f t="shared" ref="C152:D171" si="51">+C140</f>
        <v>45693</v>
      </c>
      <c r="D152" s="166">
        <f t="shared" si="51"/>
        <v>45712</v>
      </c>
      <c r="E152" s="175" t="s">
        <v>54</v>
      </c>
      <c r="F152" s="85">
        <v>9</v>
      </c>
      <c r="G152" s="152">
        <v>137</v>
      </c>
      <c r="H152" s="153">
        <f t="shared" si="46"/>
        <v>3437.72</v>
      </c>
      <c r="I152" s="153">
        <f t="shared" si="44"/>
        <v>3361.78</v>
      </c>
      <c r="J152" s="103">
        <f t="shared" si="47"/>
        <v>460563.86000000004</v>
      </c>
      <c r="K152" s="154">
        <f t="shared" si="41"/>
        <v>470967.63999999996</v>
      </c>
      <c r="L152" s="155">
        <f t="shared" si="43"/>
        <v>-10403.779999999912</v>
      </c>
      <c r="M152" s="103">
        <f t="shared" si="48"/>
        <v>-744.96940852347893</v>
      </c>
      <c r="N152" s="156">
        <f t="shared" si="49"/>
        <v>-11148.74940852339</v>
      </c>
      <c r="O152" s="103">
        <v>0</v>
      </c>
      <c r="P152" s="103">
        <v>0</v>
      </c>
      <c r="Q152" s="103">
        <v>0</v>
      </c>
      <c r="R152" s="156">
        <f t="shared" si="50"/>
        <v>-11148.74940852339</v>
      </c>
    </row>
    <row r="153" spans="1:18" x14ac:dyDescent="0.2">
      <c r="A153" s="85">
        <v>2</v>
      </c>
      <c r="B153" s="149">
        <f t="shared" si="45"/>
        <v>45689</v>
      </c>
      <c r="C153" s="168">
        <f t="shared" si="51"/>
        <v>45721</v>
      </c>
      <c r="D153" s="168">
        <f t="shared" si="51"/>
        <v>45740</v>
      </c>
      <c r="E153" s="176" t="s">
        <v>54</v>
      </c>
      <c r="F153" s="85">
        <v>9</v>
      </c>
      <c r="G153" s="152">
        <v>156</v>
      </c>
      <c r="H153" s="153">
        <f t="shared" si="46"/>
        <v>3437.72</v>
      </c>
      <c r="I153" s="153">
        <f t="shared" si="44"/>
        <v>3361.78</v>
      </c>
      <c r="J153" s="103">
        <f t="shared" si="47"/>
        <v>524437.68000000005</v>
      </c>
      <c r="K153" s="154">
        <f t="shared" si="41"/>
        <v>536284.31999999995</v>
      </c>
      <c r="L153" s="155">
        <f t="shared" si="43"/>
        <v>-11846.639999999898</v>
      </c>
      <c r="M153" s="103">
        <f t="shared" si="48"/>
        <v>-848.28633379315852</v>
      </c>
      <c r="N153" s="156">
        <f t="shared" si="49"/>
        <v>-12694.926333793057</v>
      </c>
      <c r="O153" s="103">
        <v>0</v>
      </c>
      <c r="P153" s="103">
        <v>0</v>
      </c>
      <c r="Q153" s="103">
        <v>0</v>
      </c>
      <c r="R153" s="156">
        <f t="shared" si="50"/>
        <v>-12694.926333793057</v>
      </c>
    </row>
    <row r="154" spans="1:18" x14ac:dyDescent="0.2">
      <c r="A154" s="85">
        <v>3</v>
      </c>
      <c r="B154" s="149">
        <f t="shared" si="45"/>
        <v>45717</v>
      </c>
      <c r="C154" s="168">
        <f t="shared" si="51"/>
        <v>45750</v>
      </c>
      <c r="D154" s="168">
        <f t="shared" si="51"/>
        <v>45771</v>
      </c>
      <c r="E154" s="176" t="s">
        <v>54</v>
      </c>
      <c r="F154" s="85">
        <v>9</v>
      </c>
      <c r="G154" s="152">
        <v>113</v>
      </c>
      <c r="H154" s="153">
        <f t="shared" si="46"/>
        <v>3437.72</v>
      </c>
      <c r="I154" s="153">
        <f t="shared" si="44"/>
        <v>3361.78</v>
      </c>
      <c r="J154" s="103">
        <f t="shared" si="47"/>
        <v>379881.14</v>
      </c>
      <c r="K154" s="154">
        <f t="shared" si="41"/>
        <v>388462.36</v>
      </c>
      <c r="L154" s="155">
        <f>+J154-K154</f>
        <v>-8581.2199999999721</v>
      </c>
      <c r="M154" s="103">
        <f t="shared" si="48"/>
        <v>-614.46381870914684</v>
      </c>
      <c r="N154" s="156">
        <f t="shared" si="49"/>
        <v>-9195.6838187091198</v>
      </c>
      <c r="O154" s="103">
        <v>0</v>
      </c>
      <c r="P154" s="103">
        <v>0</v>
      </c>
      <c r="Q154" s="103">
        <v>0</v>
      </c>
      <c r="R154" s="156">
        <f t="shared" si="50"/>
        <v>-9195.6838187091198</v>
      </c>
    </row>
    <row r="155" spans="1:18" x14ac:dyDescent="0.2">
      <c r="A155" s="85">
        <v>4</v>
      </c>
      <c r="B155" s="149">
        <f t="shared" si="45"/>
        <v>45748</v>
      </c>
      <c r="C155" s="168">
        <f t="shared" si="51"/>
        <v>45782</v>
      </c>
      <c r="D155" s="168">
        <f t="shared" si="51"/>
        <v>45803</v>
      </c>
      <c r="E155" s="176" t="s">
        <v>54</v>
      </c>
      <c r="F155" s="85">
        <v>9</v>
      </c>
      <c r="G155" s="152">
        <v>112</v>
      </c>
      <c r="H155" s="153">
        <f t="shared" si="46"/>
        <v>3437.72</v>
      </c>
      <c r="I155" s="153">
        <f t="shared" si="44"/>
        <v>3361.78</v>
      </c>
      <c r="J155" s="103">
        <f t="shared" si="47"/>
        <v>376519.36000000004</v>
      </c>
      <c r="K155" s="154">
        <f t="shared" si="41"/>
        <v>385024.63999999996</v>
      </c>
      <c r="L155" s="155">
        <f t="shared" ref="L155:L165" si="52">+J155-K155</f>
        <v>-8505.2799999999115</v>
      </c>
      <c r="M155" s="103">
        <f t="shared" si="48"/>
        <v>-609.02608580021626</v>
      </c>
      <c r="N155" s="156">
        <f t="shared" si="49"/>
        <v>-9114.3060858001281</v>
      </c>
      <c r="O155" s="103">
        <v>0</v>
      </c>
      <c r="P155" s="103">
        <v>0</v>
      </c>
      <c r="Q155" s="103">
        <v>0</v>
      </c>
      <c r="R155" s="156">
        <f t="shared" si="50"/>
        <v>-9114.3060858001281</v>
      </c>
    </row>
    <row r="156" spans="1:18" x14ac:dyDescent="0.2">
      <c r="A156" s="85">
        <v>5</v>
      </c>
      <c r="B156" s="149">
        <f t="shared" si="45"/>
        <v>45778</v>
      </c>
      <c r="C156" s="168">
        <f t="shared" si="51"/>
        <v>45812</v>
      </c>
      <c r="D156" s="168">
        <f t="shared" si="51"/>
        <v>45832</v>
      </c>
      <c r="E156" s="176" t="s">
        <v>54</v>
      </c>
      <c r="F156" s="85">
        <v>9</v>
      </c>
      <c r="G156" s="152">
        <v>142</v>
      </c>
      <c r="H156" s="153">
        <f t="shared" si="46"/>
        <v>3437.72</v>
      </c>
      <c r="I156" s="153">
        <f t="shared" si="44"/>
        <v>3361.78</v>
      </c>
      <c r="J156" s="103">
        <f t="shared" si="47"/>
        <v>477372.76</v>
      </c>
      <c r="K156" s="154">
        <f t="shared" si="41"/>
        <v>488156.24</v>
      </c>
      <c r="L156" s="155">
        <f t="shared" si="52"/>
        <v>-10783.479999999981</v>
      </c>
      <c r="M156" s="103">
        <f t="shared" si="48"/>
        <v>-772.15807306813144</v>
      </c>
      <c r="N156" s="156">
        <f t="shared" si="49"/>
        <v>-11555.638073068112</v>
      </c>
      <c r="O156" s="103">
        <v>0</v>
      </c>
      <c r="P156" s="103">
        <v>0</v>
      </c>
      <c r="Q156" s="103">
        <v>0</v>
      </c>
      <c r="R156" s="156">
        <f t="shared" si="50"/>
        <v>-11555.638073068112</v>
      </c>
    </row>
    <row r="157" spans="1:18" x14ac:dyDescent="0.2">
      <c r="A157" s="85">
        <v>6</v>
      </c>
      <c r="B157" s="149">
        <f t="shared" si="45"/>
        <v>45809</v>
      </c>
      <c r="C157" s="168">
        <f t="shared" si="51"/>
        <v>45841</v>
      </c>
      <c r="D157" s="168">
        <f t="shared" si="51"/>
        <v>45862</v>
      </c>
      <c r="E157" s="176" t="s">
        <v>54</v>
      </c>
      <c r="F157" s="85">
        <v>9</v>
      </c>
      <c r="G157" s="152">
        <v>165</v>
      </c>
      <c r="H157" s="153">
        <f t="shared" si="46"/>
        <v>3437.72</v>
      </c>
      <c r="I157" s="153">
        <f t="shared" si="44"/>
        <v>3361.78</v>
      </c>
      <c r="J157" s="103">
        <f t="shared" si="47"/>
        <v>554693.70000000007</v>
      </c>
      <c r="K157" s="154">
        <f t="shared" si="41"/>
        <v>567223.79999999993</v>
      </c>
      <c r="L157" s="155">
        <f t="shared" si="52"/>
        <v>-12530.09999999986</v>
      </c>
      <c r="M157" s="103">
        <f t="shared" si="48"/>
        <v>-897.22592997353297</v>
      </c>
      <c r="N157" s="156">
        <f t="shared" si="49"/>
        <v>-13427.325929973393</v>
      </c>
      <c r="O157" s="103">
        <v>0</v>
      </c>
      <c r="P157" s="103">
        <v>0</v>
      </c>
      <c r="Q157" s="103">
        <v>0</v>
      </c>
      <c r="R157" s="156">
        <f t="shared" si="50"/>
        <v>-13427.325929973393</v>
      </c>
    </row>
    <row r="158" spans="1:18" x14ac:dyDescent="0.2">
      <c r="A158" s="85">
        <v>7</v>
      </c>
      <c r="B158" s="149">
        <f t="shared" si="45"/>
        <v>45839</v>
      </c>
      <c r="C158" s="168">
        <f t="shared" si="51"/>
        <v>45874</v>
      </c>
      <c r="D158" s="168">
        <f t="shared" si="51"/>
        <v>45894</v>
      </c>
      <c r="E158" s="176" t="s">
        <v>54</v>
      </c>
      <c r="F158" s="85">
        <v>9</v>
      </c>
      <c r="G158" s="152">
        <v>185</v>
      </c>
      <c r="H158" s="153">
        <f t="shared" si="46"/>
        <v>3437.72</v>
      </c>
      <c r="I158" s="153">
        <f t="shared" si="44"/>
        <v>3361.78</v>
      </c>
      <c r="J158" s="103">
        <f t="shared" si="47"/>
        <v>621929.30000000005</v>
      </c>
      <c r="K158" s="154">
        <f t="shared" si="41"/>
        <v>635978.19999999995</v>
      </c>
      <c r="L158" s="155">
        <f t="shared" si="52"/>
        <v>-14048.899999999907</v>
      </c>
      <c r="M158" s="103">
        <f t="shared" si="48"/>
        <v>-1005.980588152143</v>
      </c>
      <c r="N158" s="156">
        <f t="shared" si="49"/>
        <v>-15054.880588152049</v>
      </c>
      <c r="O158" s="103">
        <v>0</v>
      </c>
      <c r="P158" s="103">
        <v>0</v>
      </c>
      <c r="Q158" s="103">
        <v>0</v>
      </c>
      <c r="R158" s="156">
        <f t="shared" si="50"/>
        <v>-15054.880588152049</v>
      </c>
    </row>
    <row r="159" spans="1:18" x14ac:dyDescent="0.2">
      <c r="A159" s="85">
        <v>8</v>
      </c>
      <c r="B159" s="149">
        <f t="shared" si="45"/>
        <v>45870</v>
      </c>
      <c r="C159" s="168">
        <f t="shared" si="51"/>
        <v>45904</v>
      </c>
      <c r="D159" s="168">
        <f t="shared" si="51"/>
        <v>45924</v>
      </c>
      <c r="E159" s="176" t="s">
        <v>54</v>
      </c>
      <c r="F159" s="85">
        <v>9</v>
      </c>
      <c r="G159" s="152">
        <v>191</v>
      </c>
      <c r="H159" s="153">
        <f t="shared" si="46"/>
        <v>3437.72</v>
      </c>
      <c r="I159" s="153">
        <f t="shared" si="44"/>
        <v>3361.78</v>
      </c>
      <c r="J159" s="103">
        <f t="shared" si="47"/>
        <v>642099.98</v>
      </c>
      <c r="K159" s="154">
        <f t="shared" si="41"/>
        <v>656604.52</v>
      </c>
      <c r="L159" s="155">
        <f t="shared" si="52"/>
        <v>-14504.540000000037</v>
      </c>
      <c r="M159" s="103">
        <f t="shared" si="48"/>
        <v>-1038.6069856057261</v>
      </c>
      <c r="N159" s="156">
        <f t="shared" si="49"/>
        <v>-15543.146985605763</v>
      </c>
      <c r="O159" s="103">
        <v>0</v>
      </c>
      <c r="P159" s="103">
        <v>0</v>
      </c>
      <c r="Q159" s="103">
        <v>0</v>
      </c>
      <c r="R159" s="156">
        <f t="shared" si="50"/>
        <v>-15543.146985605763</v>
      </c>
    </row>
    <row r="160" spans="1:18" x14ac:dyDescent="0.2">
      <c r="A160" s="85">
        <v>9</v>
      </c>
      <c r="B160" s="149">
        <f t="shared" si="45"/>
        <v>45901</v>
      </c>
      <c r="C160" s="168">
        <f t="shared" si="51"/>
        <v>45933</v>
      </c>
      <c r="D160" s="168">
        <f t="shared" si="51"/>
        <v>45954</v>
      </c>
      <c r="E160" s="176" t="s">
        <v>54</v>
      </c>
      <c r="F160" s="85">
        <v>9</v>
      </c>
      <c r="G160" s="152">
        <v>140</v>
      </c>
      <c r="H160" s="153">
        <f t="shared" si="46"/>
        <v>3437.72</v>
      </c>
      <c r="I160" s="153">
        <f t="shared" si="44"/>
        <v>3361.78</v>
      </c>
      <c r="J160" s="103">
        <f t="shared" si="47"/>
        <v>470649.2</v>
      </c>
      <c r="K160" s="154">
        <f t="shared" si="41"/>
        <v>481280.8</v>
      </c>
      <c r="L160" s="155">
        <f t="shared" si="52"/>
        <v>-10631.599999999977</v>
      </c>
      <c r="M160" s="103">
        <f t="shared" si="48"/>
        <v>-761.28260725027042</v>
      </c>
      <c r="N160" s="156">
        <f t="shared" si="49"/>
        <v>-11392.882607250247</v>
      </c>
      <c r="O160" s="103">
        <v>0</v>
      </c>
      <c r="P160" s="103">
        <v>0</v>
      </c>
      <c r="Q160" s="103">
        <v>0</v>
      </c>
      <c r="R160" s="156">
        <f t="shared" si="50"/>
        <v>-11392.882607250247</v>
      </c>
    </row>
    <row r="161" spans="1:18" x14ac:dyDescent="0.2">
      <c r="A161" s="85">
        <v>10</v>
      </c>
      <c r="B161" s="149">
        <f t="shared" si="45"/>
        <v>45931</v>
      </c>
      <c r="C161" s="168">
        <f t="shared" si="51"/>
        <v>45966</v>
      </c>
      <c r="D161" s="168">
        <f t="shared" si="51"/>
        <v>45985</v>
      </c>
      <c r="E161" s="176" t="s">
        <v>54</v>
      </c>
      <c r="F161" s="85">
        <v>9</v>
      </c>
      <c r="G161" s="152">
        <v>137</v>
      </c>
      <c r="H161" s="153">
        <f t="shared" si="46"/>
        <v>3437.72</v>
      </c>
      <c r="I161" s="153">
        <f t="shared" si="44"/>
        <v>3361.78</v>
      </c>
      <c r="J161" s="103">
        <f t="shared" si="47"/>
        <v>460563.86000000004</v>
      </c>
      <c r="K161" s="154">
        <f t="shared" si="41"/>
        <v>470967.63999999996</v>
      </c>
      <c r="L161" s="155">
        <f t="shared" si="52"/>
        <v>-10403.779999999912</v>
      </c>
      <c r="M161" s="103">
        <f t="shared" si="48"/>
        <v>-744.96940852347893</v>
      </c>
      <c r="N161" s="156">
        <f t="shared" si="49"/>
        <v>-11148.74940852339</v>
      </c>
      <c r="O161" s="103">
        <v>0</v>
      </c>
      <c r="P161" s="103">
        <v>0</v>
      </c>
      <c r="Q161" s="103">
        <v>0</v>
      </c>
      <c r="R161" s="156">
        <f t="shared" si="50"/>
        <v>-11148.74940852339</v>
      </c>
    </row>
    <row r="162" spans="1:18" x14ac:dyDescent="0.2">
      <c r="A162" s="85">
        <v>11</v>
      </c>
      <c r="B162" s="149">
        <f t="shared" si="45"/>
        <v>45962</v>
      </c>
      <c r="C162" s="168">
        <f t="shared" si="51"/>
        <v>45994</v>
      </c>
      <c r="D162" s="168">
        <f t="shared" si="51"/>
        <v>46015</v>
      </c>
      <c r="E162" s="176" t="s">
        <v>54</v>
      </c>
      <c r="F162" s="85">
        <v>9</v>
      </c>
      <c r="G162" s="152">
        <v>120</v>
      </c>
      <c r="H162" s="153">
        <f t="shared" si="46"/>
        <v>3437.72</v>
      </c>
      <c r="I162" s="153">
        <f t="shared" si="44"/>
        <v>3361.78</v>
      </c>
      <c r="J162" s="103">
        <f t="shared" si="47"/>
        <v>403413.60000000003</v>
      </c>
      <c r="K162" s="154">
        <f t="shared" si="41"/>
        <v>412526.39999999997</v>
      </c>
      <c r="L162" s="155">
        <f t="shared" si="52"/>
        <v>-9112.7999999999302</v>
      </c>
      <c r="M162" s="103">
        <f t="shared" si="48"/>
        <v>-652.52794907166026</v>
      </c>
      <c r="N162" s="156">
        <f t="shared" si="49"/>
        <v>-9765.3279490715904</v>
      </c>
      <c r="O162" s="103">
        <v>0</v>
      </c>
      <c r="P162" s="103">
        <v>0</v>
      </c>
      <c r="Q162" s="103">
        <v>0</v>
      </c>
      <c r="R162" s="156">
        <f t="shared" si="50"/>
        <v>-9765.3279490715904</v>
      </c>
    </row>
    <row r="163" spans="1:18" s="172" customFormat="1" x14ac:dyDescent="0.2">
      <c r="A163" s="85">
        <v>12</v>
      </c>
      <c r="B163" s="170">
        <f t="shared" si="45"/>
        <v>45992</v>
      </c>
      <c r="C163" s="168">
        <f t="shared" si="51"/>
        <v>46028</v>
      </c>
      <c r="D163" s="168">
        <f t="shared" si="51"/>
        <v>46048</v>
      </c>
      <c r="E163" s="177" t="s">
        <v>54</v>
      </c>
      <c r="F163" s="126">
        <v>9</v>
      </c>
      <c r="G163" s="160">
        <v>128</v>
      </c>
      <c r="H163" s="161">
        <f t="shared" si="46"/>
        <v>3437.72</v>
      </c>
      <c r="I163" s="161">
        <f t="shared" si="44"/>
        <v>3361.78</v>
      </c>
      <c r="J163" s="162">
        <f t="shared" si="47"/>
        <v>430307.84000000003</v>
      </c>
      <c r="K163" s="163">
        <f t="shared" si="41"/>
        <v>440028.15999999997</v>
      </c>
      <c r="L163" s="164">
        <f t="shared" si="52"/>
        <v>-9720.3199999999488</v>
      </c>
      <c r="M163" s="162">
        <f t="shared" si="48"/>
        <v>-696.02981234310437</v>
      </c>
      <c r="N163" s="208">
        <f t="shared" si="49"/>
        <v>-10416.349812343053</v>
      </c>
      <c r="O163" s="162">
        <v>0</v>
      </c>
      <c r="P163" s="162">
        <v>0</v>
      </c>
      <c r="Q163" s="162">
        <v>0</v>
      </c>
      <c r="R163" s="208">
        <f t="shared" si="50"/>
        <v>-10416.349812343053</v>
      </c>
    </row>
    <row r="164" spans="1:18" x14ac:dyDescent="0.2">
      <c r="A164" s="85">
        <v>1</v>
      </c>
      <c r="B164" s="149">
        <f t="shared" si="45"/>
        <v>45658</v>
      </c>
      <c r="C164" s="166">
        <f t="shared" si="51"/>
        <v>45693</v>
      </c>
      <c r="D164" s="166">
        <f t="shared" si="51"/>
        <v>45712</v>
      </c>
      <c r="E164" s="175" t="s">
        <v>55</v>
      </c>
      <c r="F164" s="85">
        <v>9</v>
      </c>
      <c r="G164" s="152">
        <v>11</v>
      </c>
      <c r="H164" s="153">
        <f t="shared" si="46"/>
        <v>3437.72</v>
      </c>
      <c r="I164" s="153">
        <f t="shared" si="44"/>
        <v>3361.78</v>
      </c>
      <c r="J164" s="103">
        <f t="shared" si="47"/>
        <v>36979.58</v>
      </c>
      <c r="K164" s="154">
        <f t="shared" si="41"/>
        <v>37814.92</v>
      </c>
      <c r="L164" s="155">
        <f t="shared" si="52"/>
        <v>-835.33999999999651</v>
      </c>
      <c r="M164" s="103">
        <f t="shared" si="48"/>
        <v>-59.815061998235535</v>
      </c>
      <c r="N164" s="156">
        <f t="shared" si="49"/>
        <v>-895.15506199823199</v>
      </c>
      <c r="O164" s="103">
        <v>0</v>
      </c>
      <c r="P164" s="103">
        <v>0</v>
      </c>
      <c r="Q164" s="103">
        <v>0</v>
      </c>
      <c r="R164" s="156">
        <f t="shared" si="50"/>
        <v>-895.15506199823199</v>
      </c>
    </row>
    <row r="165" spans="1:18" x14ac:dyDescent="0.2">
      <c r="A165" s="85">
        <v>2</v>
      </c>
      <c r="B165" s="149">
        <f t="shared" si="45"/>
        <v>45689</v>
      </c>
      <c r="C165" s="168">
        <f t="shared" si="51"/>
        <v>45721</v>
      </c>
      <c r="D165" s="168">
        <f t="shared" si="51"/>
        <v>45740</v>
      </c>
      <c r="E165" s="176" t="s">
        <v>55</v>
      </c>
      <c r="F165" s="85">
        <v>9</v>
      </c>
      <c r="G165" s="152">
        <v>9</v>
      </c>
      <c r="H165" s="153">
        <f t="shared" si="46"/>
        <v>3437.72</v>
      </c>
      <c r="I165" s="153">
        <f t="shared" si="44"/>
        <v>3361.78</v>
      </c>
      <c r="J165" s="103">
        <f t="shared" si="47"/>
        <v>30256.02</v>
      </c>
      <c r="K165" s="154">
        <f t="shared" si="41"/>
        <v>30939.48</v>
      </c>
      <c r="L165" s="155">
        <f t="shared" si="52"/>
        <v>-683.45999999999913</v>
      </c>
      <c r="M165" s="103">
        <f t="shared" si="48"/>
        <v>-48.939596180374522</v>
      </c>
      <c r="N165" s="156">
        <f t="shared" si="49"/>
        <v>-732.39959618037369</v>
      </c>
      <c r="O165" s="103">
        <v>0</v>
      </c>
      <c r="P165" s="103">
        <v>0</v>
      </c>
      <c r="Q165" s="103">
        <v>0</v>
      </c>
      <c r="R165" s="156">
        <f t="shared" si="50"/>
        <v>-732.39959618037369</v>
      </c>
    </row>
    <row r="166" spans="1:18" x14ac:dyDescent="0.2">
      <c r="A166" s="85">
        <v>3</v>
      </c>
      <c r="B166" s="149">
        <f t="shared" si="45"/>
        <v>45717</v>
      </c>
      <c r="C166" s="168">
        <f t="shared" si="51"/>
        <v>45750</v>
      </c>
      <c r="D166" s="168">
        <f t="shared" si="51"/>
        <v>45771</v>
      </c>
      <c r="E166" s="176" t="s">
        <v>55</v>
      </c>
      <c r="F166" s="85">
        <v>9</v>
      </c>
      <c r="G166" s="152">
        <v>8</v>
      </c>
      <c r="H166" s="153">
        <f t="shared" si="46"/>
        <v>3437.72</v>
      </c>
      <c r="I166" s="153">
        <f t="shared" si="44"/>
        <v>3361.78</v>
      </c>
      <c r="J166" s="103">
        <f t="shared" si="47"/>
        <v>26894.240000000002</v>
      </c>
      <c r="K166" s="154">
        <f t="shared" si="41"/>
        <v>27501.759999999998</v>
      </c>
      <c r="L166" s="155">
        <f>+J166-K166</f>
        <v>-607.5199999999968</v>
      </c>
      <c r="M166" s="103">
        <f t="shared" si="48"/>
        <v>-43.501863271444023</v>
      </c>
      <c r="N166" s="156">
        <f t="shared" si="49"/>
        <v>-651.02186327144079</v>
      </c>
      <c r="O166" s="103">
        <v>0</v>
      </c>
      <c r="P166" s="103">
        <v>0</v>
      </c>
      <c r="Q166" s="103">
        <v>0</v>
      </c>
      <c r="R166" s="156">
        <f t="shared" si="50"/>
        <v>-651.02186327144079</v>
      </c>
    </row>
    <row r="167" spans="1:18" x14ac:dyDescent="0.2">
      <c r="A167" s="85">
        <v>4</v>
      </c>
      <c r="B167" s="149">
        <f t="shared" si="45"/>
        <v>45748</v>
      </c>
      <c r="C167" s="168">
        <f t="shared" si="51"/>
        <v>45782</v>
      </c>
      <c r="D167" s="168">
        <f t="shared" si="51"/>
        <v>45803</v>
      </c>
      <c r="E167" s="176" t="s">
        <v>55</v>
      </c>
      <c r="F167" s="85">
        <v>9</v>
      </c>
      <c r="G167" s="152">
        <v>10</v>
      </c>
      <c r="H167" s="153">
        <f t="shared" si="46"/>
        <v>3437.72</v>
      </c>
      <c r="I167" s="153">
        <f t="shared" si="44"/>
        <v>3361.78</v>
      </c>
      <c r="J167" s="103">
        <f t="shared" si="47"/>
        <v>33617.800000000003</v>
      </c>
      <c r="K167" s="154">
        <f t="shared" si="41"/>
        <v>34377.199999999997</v>
      </c>
      <c r="L167" s="155">
        <f t="shared" ref="L167:L177" si="53">+J167-K167</f>
        <v>-759.39999999999418</v>
      </c>
      <c r="M167" s="103">
        <f t="shared" si="48"/>
        <v>-54.377329089305029</v>
      </c>
      <c r="N167" s="156">
        <f t="shared" si="49"/>
        <v>-813.7773290892992</v>
      </c>
      <c r="O167" s="103">
        <v>0</v>
      </c>
      <c r="P167" s="103">
        <v>0</v>
      </c>
      <c r="Q167" s="103">
        <v>0</v>
      </c>
      <c r="R167" s="156">
        <f t="shared" si="50"/>
        <v>-813.7773290892992</v>
      </c>
    </row>
    <row r="168" spans="1:18" x14ac:dyDescent="0.2">
      <c r="A168" s="85">
        <v>5</v>
      </c>
      <c r="B168" s="149">
        <f t="shared" si="45"/>
        <v>45778</v>
      </c>
      <c r="C168" s="168">
        <f t="shared" si="51"/>
        <v>45812</v>
      </c>
      <c r="D168" s="168">
        <f t="shared" si="51"/>
        <v>45832</v>
      </c>
      <c r="E168" s="176" t="s">
        <v>55</v>
      </c>
      <c r="F168" s="85">
        <v>9</v>
      </c>
      <c r="G168" s="152">
        <v>11</v>
      </c>
      <c r="H168" s="153">
        <f t="shared" si="46"/>
        <v>3437.72</v>
      </c>
      <c r="I168" s="153">
        <f t="shared" si="44"/>
        <v>3361.78</v>
      </c>
      <c r="J168" s="103">
        <f t="shared" si="47"/>
        <v>36979.58</v>
      </c>
      <c r="K168" s="154">
        <f t="shared" si="41"/>
        <v>37814.92</v>
      </c>
      <c r="L168" s="155">
        <f t="shared" si="53"/>
        <v>-835.33999999999651</v>
      </c>
      <c r="M168" s="103">
        <f t="shared" si="48"/>
        <v>-59.815061998235535</v>
      </c>
      <c r="N168" s="156">
        <f t="shared" si="49"/>
        <v>-895.15506199823199</v>
      </c>
      <c r="O168" s="103">
        <v>0</v>
      </c>
      <c r="P168" s="103">
        <v>0</v>
      </c>
      <c r="Q168" s="103">
        <v>0</v>
      </c>
      <c r="R168" s="156">
        <f t="shared" si="50"/>
        <v>-895.15506199823199</v>
      </c>
    </row>
    <row r="169" spans="1:18" x14ac:dyDescent="0.2">
      <c r="A169" s="85">
        <v>6</v>
      </c>
      <c r="B169" s="149">
        <f t="shared" si="45"/>
        <v>45809</v>
      </c>
      <c r="C169" s="168">
        <f t="shared" si="51"/>
        <v>45841</v>
      </c>
      <c r="D169" s="168">
        <f t="shared" si="51"/>
        <v>45862</v>
      </c>
      <c r="E169" s="176" t="s">
        <v>55</v>
      </c>
      <c r="F169" s="85">
        <v>9</v>
      </c>
      <c r="G169" s="152">
        <v>11</v>
      </c>
      <c r="H169" s="153">
        <f t="shared" si="46"/>
        <v>3437.72</v>
      </c>
      <c r="I169" s="153">
        <f t="shared" si="44"/>
        <v>3361.78</v>
      </c>
      <c r="J169" s="103">
        <f t="shared" si="47"/>
        <v>36979.58</v>
      </c>
      <c r="K169" s="154">
        <f t="shared" si="41"/>
        <v>37814.92</v>
      </c>
      <c r="L169" s="155">
        <f t="shared" si="53"/>
        <v>-835.33999999999651</v>
      </c>
      <c r="M169" s="103">
        <f t="shared" si="48"/>
        <v>-59.815061998235535</v>
      </c>
      <c r="N169" s="156">
        <f t="shared" si="49"/>
        <v>-895.15506199823199</v>
      </c>
      <c r="O169" s="103">
        <v>0</v>
      </c>
      <c r="P169" s="103">
        <v>0</v>
      </c>
      <c r="Q169" s="103">
        <v>0</v>
      </c>
      <c r="R169" s="156">
        <f t="shared" si="50"/>
        <v>-895.15506199823199</v>
      </c>
    </row>
    <row r="170" spans="1:18" x14ac:dyDescent="0.2">
      <c r="A170" s="85">
        <v>7</v>
      </c>
      <c r="B170" s="149">
        <f t="shared" si="45"/>
        <v>45839</v>
      </c>
      <c r="C170" s="168">
        <f t="shared" si="51"/>
        <v>45874</v>
      </c>
      <c r="D170" s="168">
        <f t="shared" si="51"/>
        <v>45894</v>
      </c>
      <c r="E170" s="176" t="s">
        <v>55</v>
      </c>
      <c r="F170" s="85">
        <v>9</v>
      </c>
      <c r="G170" s="152">
        <v>14</v>
      </c>
      <c r="H170" s="153">
        <f t="shared" si="46"/>
        <v>3437.72</v>
      </c>
      <c r="I170" s="153">
        <f t="shared" si="44"/>
        <v>3361.78</v>
      </c>
      <c r="J170" s="103">
        <f t="shared" si="47"/>
        <v>47064.920000000006</v>
      </c>
      <c r="K170" s="154">
        <f t="shared" si="41"/>
        <v>48128.079999999994</v>
      </c>
      <c r="L170" s="155">
        <f t="shared" si="53"/>
        <v>-1063.1599999999889</v>
      </c>
      <c r="M170" s="103">
        <f t="shared" si="48"/>
        <v>-76.128260725027033</v>
      </c>
      <c r="N170" s="156">
        <f t="shared" si="49"/>
        <v>-1139.288260725016</v>
      </c>
      <c r="O170" s="103">
        <v>0</v>
      </c>
      <c r="P170" s="103">
        <v>0</v>
      </c>
      <c r="Q170" s="103">
        <v>0</v>
      </c>
      <c r="R170" s="156">
        <f t="shared" si="50"/>
        <v>-1139.288260725016</v>
      </c>
    </row>
    <row r="171" spans="1:18" x14ac:dyDescent="0.2">
      <c r="A171" s="85">
        <v>8</v>
      </c>
      <c r="B171" s="149">
        <f t="shared" si="45"/>
        <v>45870</v>
      </c>
      <c r="C171" s="168">
        <f t="shared" si="51"/>
        <v>45904</v>
      </c>
      <c r="D171" s="168">
        <f t="shared" si="51"/>
        <v>45924</v>
      </c>
      <c r="E171" s="176" t="s">
        <v>55</v>
      </c>
      <c r="F171" s="85">
        <v>9</v>
      </c>
      <c r="G171" s="152">
        <v>11</v>
      </c>
      <c r="H171" s="153">
        <f t="shared" si="46"/>
        <v>3437.72</v>
      </c>
      <c r="I171" s="153">
        <f t="shared" si="44"/>
        <v>3361.78</v>
      </c>
      <c r="J171" s="103">
        <f t="shared" si="47"/>
        <v>36979.58</v>
      </c>
      <c r="K171" s="154">
        <f t="shared" si="41"/>
        <v>37814.92</v>
      </c>
      <c r="L171" s="155">
        <f t="shared" si="53"/>
        <v>-835.33999999999651</v>
      </c>
      <c r="M171" s="103">
        <f t="shared" si="48"/>
        <v>-59.815061998235535</v>
      </c>
      <c r="N171" s="156">
        <f t="shared" si="49"/>
        <v>-895.15506199823199</v>
      </c>
      <c r="O171" s="103">
        <v>0</v>
      </c>
      <c r="P171" s="103">
        <v>0</v>
      </c>
      <c r="Q171" s="103">
        <v>0</v>
      </c>
      <c r="R171" s="156">
        <f t="shared" si="50"/>
        <v>-895.15506199823199</v>
      </c>
    </row>
    <row r="172" spans="1:18" x14ac:dyDescent="0.2">
      <c r="A172" s="85">
        <v>9</v>
      </c>
      <c r="B172" s="149">
        <f t="shared" si="45"/>
        <v>45901</v>
      </c>
      <c r="C172" s="168">
        <f t="shared" ref="C172:D175" si="54">+C160</f>
        <v>45933</v>
      </c>
      <c r="D172" s="168">
        <f t="shared" si="54"/>
        <v>45954</v>
      </c>
      <c r="E172" s="176" t="s">
        <v>55</v>
      </c>
      <c r="F172" s="85">
        <v>9</v>
      </c>
      <c r="G172" s="152">
        <v>12</v>
      </c>
      <c r="H172" s="153">
        <f t="shared" si="46"/>
        <v>3437.72</v>
      </c>
      <c r="I172" s="153">
        <f t="shared" si="44"/>
        <v>3361.78</v>
      </c>
      <c r="J172" s="103">
        <f t="shared" si="47"/>
        <v>40341.360000000001</v>
      </c>
      <c r="K172" s="154">
        <f t="shared" si="41"/>
        <v>41252.639999999999</v>
      </c>
      <c r="L172" s="155">
        <f t="shared" si="53"/>
        <v>-911.27999999999884</v>
      </c>
      <c r="M172" s="103">
        <f t="shared" si="48"/>
        <v>-65.252794907166034</v>
      </c>
      <c r="N172" s="156">
        <f t="shared" si="49"/>
        <v>-976.53279490716488</v>
      </c>
      <c r="O172" s="103">
        <v>0</v>
      </c>
      <c r="P172" s="103">
        <v>0</v>
      </c>
      <c r="Q172" s="103">
        <v>0</v>
      </c>
      <c r="R172" s="156">
        <f t="shared" si="50"/>
        <v>-976.53279490716488</v>
      </c>
    </row>
    <row r="173" spans="1:18" x14ac:dyDescent="0.2">
      <c r="A173" s="85">
        <v>10</v>
      </c>
      <c r="B173" s="149">
        <f t="shared" si="45"/>
        <v>45931</v>
      </c>
      <c r="C173" s="168">
        <f t="shared" si="54"/>
        <v>45966</v>
      </c>
      <c r="D173" s="168">
        <f t="shared" si="54"/>
        <v>45985</v>
      </c>
      <c r="E173" s="176" t="s">
        <v>55</v>
      </c>
      <c r="F173" s="85">
        <v>9</v>
      </c>
      <c r="G173" s="152">
        <v>13</v>
      </c>
      <c r="H173" s="153">
        <f t="shared" si="46"/>
        <v>3437.72</v>
      </c>
      <c r="I173" s="153">
        <f t="shared" si="44"/>
        <v>3361.78</v>
      </c>
      <c r="J173" s="103">
        <f t="shared" si="47"/>
        <v>43703.14</v>
      </c>
      <c r="K173" s="154">
        <f t="shared" si="41"/>
        <v>44690.36</v>
      </c>
      <c r="L173" s="155">
        <f t="shared" si="53"/>
        <v>-987.22000000000116</v>
      </c>
      <c r="M173" s="103">
        <f t="shared" si="48"/>
        <v>-70.690527816096534</v>
      </c>
      <c r="N173" s="156">
        <f t="shared" si="49"/>
        <v>-1057.9105278160978</v>
      </c>
      <c r="O173" s="103">
        <v>0</v>
      </c>
      <c r="P173" s="103">
        <v>0</v>
      </c>
      <c r="Q173" s="103">
        <v>0</v>
      </c>
      <c r="R173" s="156">
        <f t="shared" si="50"/>
        <v>-1057.9105278160978</v>
      </c>
    </row>
    <row r="174" spans="1:18" x14ac:dyDescent="0.2">
      <c r="A174" s="85">
        <v>11</v>
      </c>
      <c r="B174" s="149">
        <f t="shared" si="45"/>
        <v>45962</v>
      </c>
      <c r="C174" s="168">
        <f t="shared" si="54"/>
        <v>45994</v>
      </c>
      <c r="D174" s="168">
        <f t="shared" si="54"/>
        <v>46015</v>
      </c>
      <c r="E174" s="176" t="s">
        <v>55</v>
      </c>
      <c r="F174" s="85">
        <v>9</v>
      </c>
      <c r="G174" s="152">
        <v>10</v>
      </c>
      <c r="H174" s="153">
        <f t="shared" si="46"/>
        <v>3437.72</v>
      </c>
      <c r="I174" s="153">
        <f t="shared" si="44"/>
        <v>3361.78</v>
      </c>
      <c r="J174" s="103">
        <f t="shared" si="47"/>
        <v>33617.800000000003</v>
      </c>
      <c r="K174" s="154">
        <f t="shared" si="41"/>
        <v>34377.199999999997</v>
      </c>
      <c r="L174" s="155">
        <f t="shared" si="53"/>
        <v>-759.39999999999418</v>
      </c>
      <c r="M174" s="103">
        <f t="shared" si="48"/>
        <v>-54.377329089305029</v>
      </c>
      <c r="N174" s="156">
        <f t="shared" si="49"/>
        <v>-813.7773290892992</v>
      </c>
      <c r="O174" s="103">
        <v>0</v>
      </c>
      <c r="P174" s="103">
        <v>0</v>
      </c>
      <c r="Q174" s="103">
        <v>0</v>
      </c>
      <c r="R174" s="156">
        <f t="shared" si="50"/>
        <v>-813.7773290892992</v>
      </c>
    </row>
    <row r="175" spans="1:18" s="172" customFormat="1" x14ac:dyDescent="0.2">
      <c r="A175" s="85">
        <v>12</v>
      </c>
      <c r="B175" s="170">
        <f t="shared" si="45"/>
        <v>45992</v>
      </c>
      <c r="C175" s="168">
        <f t="shared" si="54"/>
        <v>46028</v>
      </c>
      <c r="D175" s="168">
        <f t="shared" si="54"/>
        <v>46048</v>
      </c>
      <c r="E175" s="177" t="s">
        <v>55</v>
      </c>
      <c r="F175" s="126">
        <v>9</v>
      </c>
      <c r="G175" s="160">
        <v>7</v>
      </c>
      <c r="H175" s="161">
        <f t="shared" si="46"/>
        <v>3437.72</v>
      </c>
      <c r="I175" s="161">
        <f t="shared" si="44"/>
        <v>3361.78</v>
      </c>
      <c r="J175" s="162">
        <f t="shared" si="47"/>
        <v>23532.460000000003</v>
      </c>
      <c r="K175" s="163">
        <f t="shared" si="41"/>
        <v>24064.039999999997</v>
      </c>
      <c r="L175" s="164">
        <f t="shared" si="53"/>
        <v>-531.57999999999447</v>
      </c>
      <c r="M175" s="162">
        <f t="shared" si="48"/>
        <v>-38.064130362513517</v>
      </c>
      <c r="N175" s="208">
        <f t="shared" si="49"/>
        <v>-569.64413036250801</v>
      </c>
      <c r="O175" s="162">
        <v>0</v>
      </c>
      <c r="P175" s="162">
        <v>0</v>
      </c>
      <c r="Q175" s="162">
        <v>0</v>
      </c>
      <c r="R175" s="208">
        <f t="shared" si="50"/>
        <v>-569.64413036250801</v>
      </c>
    </row>
    <row r="176" spans="1:18" x14ac:dyDescent="0.2">
      <c r="A176" s="85">
        <v>1</v>
      </c>
      <c r="B176" s="149">
        <f t="shared" si="45"/>
        <v>45658</v>
      </c>
      <c r="C176" s="166">
        <f t="shared" ref="C176:D187" si="55">+C152</f>
        <v>45693</v>
      </c>
      <c r="D176" s="166">
        <f t="shared" si="55"/>
        <v>45712</v>
      </c>
      <c r="E176" s="175" t="s">
        <v>56</v>
      </c>
      <c r="F176" s="85">
        <v>9</v>
      </c>
      <c r="G176" s="152">
        <v>0</v>
      </c>
      <c r="H176" s="153">
        <f t="shared" si="46"/>
        <v>3437.72</v>
      </c>
      <c r="I176" s="153">
        <f t="shared" si="44"/>
        <v>3361.78</v>
      </c>
      <c r="J176" s="103">
        <f t="shared" si="47"/>
        <v>0</v>
      </c>
      <c r="K176" s="154">
        <f t="shared" si="41"/>
        <v>0</v>
      </c>
      <c r="L176" s="155">
        <f t="shared" si="53"/>
        <v>0</v>
      </c>
      <c r="M176" s="103">
        <f t="shared" si="48"/>
        <v>0</v>
      </c>
      <c r="N176" s="156">
        <f t="shared" si="49"/>
        <v>0</v>
      </c>
      <c r="O176" s="103">
        <v>0</v>
      </c>
      <c r="P176" s="103">
        <v>0</v>
      </c>
      <c r="Q176" s="103">
        <v>0</v>
      </c>
      <c r="R176" s="156">
        <f t="shared" si="50"/>
        <v>0</v>
      </c>
    </row>
    <row r="177" spans="1:18" x14ac:dyDescent="0.2">
      <c r="A177" s="85">
        <v>2</v>
      </c>
      <c r="B177" s="149">
        <f t="shared" si="45"/>
        <v>45689</v>
      </c>
      <c r="C177" s="168">
        <f t="shared" si="55"/>
        <v>45721</v>
      </c>
      <c r="D177" s="168">
        <f t="shared" si="55"/>
        <v>45740</v>
      </c>
      <c r="E177" s="1" t="s">
        <v>56</v>
      </c>
      <c r="F177" s="85">
        <v>9</v>
      </c>
      <c r="G177" s="152">
        <v>0</v>
      </c>
      <c r="H177" s="153">
        <f t="shared" si="46"/>
        <v>3437.72</v>
      </c>
      <c r="I177" s="153">
        <f t="shared" si="44"/>
        <v>3361.78</v>
      </c>
      <c r="J177" s="103">
        <f t="shared" si="47"/>
        <v>0</v>
      </c>
      <c r="K177" s="154">
        <f t="shared" si="41"/>
        <v>0</v>
      </c>
      <c r="L177" s="155">
        <f t="shared" si="53"/>
        <v>0</v>
      </c>
      <c r="M177" s="103">
        <f t="shared" si="48"/>
        <v>0</v>
      </c>
      <c r="N177" s="156">
        <f t="shared" si="49"/>
        <v>0</v>
      </c>
      <c r="O177" s="103">
        <v>0</v>
      </c>
      <c r="P177" s="103">
        <v>0</v>
      </c>
      <c r="Q177" s="103">
        <v>0</v>
      </c>
      <c r="R177" s="156">
        <f t="shared" si="50"/>
        <v>0</v>
      </c>
    </row>
    <row r="178" spans="1:18" x14ac:dyDescent="0.2">
      <c r="A178" s="85">
        <v>3</v>
      </c>
      <c r="B178" s="149">
        <f t="shared" si="45"/>
        <v>45717</v>
      </c>
      <c r="C178" s="168">
        <f t="shared" si="55"/>
        <v>45750</v>
      </c>
      <c r="D178" s="168">
        <f t="shared" si="55"/>
        <v>45771</v>
      </c>
      <c r="E178" s="1" t="s">
        <v>56</v>
      </c>
      <c r="F178" s="85">
        <v>9</v>
      </c>
      <c r="G178" s="152">
        <v>0</v>
      </c>
      <c r="H178" s="153">
        <f t="shared" si="46"/>
        <v>3437.72</v>
      </c>
      <c r="I178" s="153">
        <f t="shared" si="44"/>
        <v>3361.78</v>
      </c>
      <c r="J178" s="103">
        <f t="shared" si="47"/>
        <v>0</v>
      </c>
      <c r="K178" s="154">
        <f t="shared" si="41"/>
        <v>0</v>
      </c>
      <c r="L178" s="155">
        <f>+J178-K178</f>
        <v>0</v>
      </c>
      <c r="M178" s="103">
        <f t="shared" si="48"/>
        <v>0</v>
      </c>
      <c r="N178" s="156">
        <f t="shared" si="49"/>
        <v>0</v>
      </c>
      <c r="O178" s="103">
        <v>0</v>
      </c>
      <c r="P178" s="103">
        <v>0</v>
      </c>
      <c r="Q178" s="103">
        <v>0</v>
      </c>
      <c r="R178" s="156">
        <f t="shared" si="50"/>
        <v>0</v>
      </c>
    </row>
    <row r="179" spans="1:18" x14ac:dyDescent="0.2">
      <c r="A179" s="85">
        <v>4</v>
      </c>
      <c r="B179" s="149">
        <f t="shared" si="45"/>
        <v>45748</v>
      </c>
      <c r="C179" s="168">
        <f t="shared" si="55"/>
        <v>45782</v>
      </c>
      <c r="D179" s="168">
        <f t="shared" si="55"/>
        <v>45803</v>
      </c>
      <c r="E179" s="1" t="s">
        <v>56</v>
      </c>
      <c r="F179" s="85">
        <v>9</v>
      </c>
      <c r="G179" s="152">
        <v>0</v>
      </c>
      <c r="H179" s="153">
        <f t="shared" si="46"/>
        <v>3437.72</v>
      </c>
      <c r="I179" s="153">
        <f t="shared" si="44"/>
        <v>3361.78</v>
      </c>
      <c r="J179" s="103">
        <f t="shared" si="47"/>
        <v>0</v>
      </c>
      <c r="K179" s="154">
        <f t="shared" si="41"/>
        <v>0</v>
      </c>
      <c r="L179" s="155">
        <f t="shared" ref="L179:L189" si="56">+J179-K179</f>
        <v>0</v>
      </c>
      <c r="M179" s="103">
        <f t="shared" si="48"/>
        <v>0</v>
      </c>
      <c r="N179" s="156">
        <f t="shared" si="49"/>
        <v>0</v>
      </c>
      <c r="O179" s="103">
        <v>0</v>
      </c>
      <c r="P179" s="103">
        <v>0</v>
      </c>
      <c r="Q179" s="103">
        <v>0</v>
      </c>
      <c r="R179" s="156">
        <f t="shared" si="50"/>
        <v>0</v>
      </c>
    </row>
    <row r="180" spans="1:18" x14ac:dyDescent="0.2">
      <c r="A180" s="85">
        <v>5</v>
      </c>
      <c r="B180" s="149">
        <f t="shared" si="45"/>
        <v>45778</v>
      </c>
      <c r="C180" s="168">
        <f t="shared" si="55"/>
        <v>45812</v>
      </c>
      <c r="D180" s="168">
        <f t="shared" si="55"/>
        <v>45832</v>
      </c>
      <c r="E180" s="1" t="s">
        <v>56</v>
      </c>
      <c r="F180" s="85">
        <v>9</v>
      </c>
      <c r="G180" s="152">
        <v>0</v>
      </c>
      <c r="H180" s="153">
        <f t="shared" si="46"/>
        <v>3437.72</v>
      </c>
      <c r="I180" s="153">
        <f t="shared" ref="I180:I211" si="57">$J$3</f>
        <v>3361.78</v>
      </c>
      <c r="J180" s="103">
        <f t="shared" si="47"/>
        <v>0</v>
      </c>
      <c r="K180" s="154">
        <f t="shared" si="41"/>
        <v>0</v>
      </c>
      <c r="L180" s="155">
        <f t="shared" si="56"/>
        <v>0</v>
      </c>
      <c r="M180" s="103">
        <f t="shared" si="48"/>
        <v>0</v>
      </c>
      <c r="N180" s="156">
        <f t="shared" si="49"/>
        <v>0</v>
      </c>
      <c r="O180" s="103">
        <v>0</v>
      </c>
      <c r="P180" s="103">
        <v>0</v>
      </c>
      <c r="Q180" s="103">
        <v>0</v>
      </c>
      <c r="R180" s="156">
        <f t="shared" si="50"/>
        <v>0</v>
      </c>
    </row>
    <row r="181" spans="1:18" x14ac:dyDescent="0.2">
      <c r="A181" s="85">
        <v>6</v>
      </c>
      <c r="B181" s="149">
        <f t="shared" si="45"/>
        <v>45809</v>
      </c>
      <c r="C181" s="168">
        <f t="shared" si="55"/>
        <v>45841</v>
      </c>
      <c r="D181" s="168">
        <f t="shared" si="55"/>
        <v>45862</v>
      </c>
      <c r="E181" s="1" t="s">
        <v>56</v>
      </c>
      <c r="F181" s="85">
        <v>9</v>
      </c>
      <c r="G181" s="152">
        <v>0</v>
      </c>
      <c r="H181" s="153">
        <f t="shared" si="46"/>
        <v>3437.72</v>
      </c>
      <c r="I181" s="153">
        <f t="shared" si="57"/>
        <v>3361.78</v>
      </c>
      <c r="J181" s="103">
        <f t="shared" si="47"/>
        <v>0</v>
      </c>
      <c r="K181" s="154">
        <f t="shared" si="41"/>
        <v>0</v>
      </c>
      <c r="L181" s="155">
        <f t="shared" si="56"/>
        <v>0</v>
      </c>
      <c r="M181" s="103">
        <f t="shared" si="48"/>
        <v>0</v>
      </c>
      <c r="N181" s="156">
        <f t="shared" si="49"/>
        <v>0</v>
      </c>
      <c r="O181" s="103">
        <v>0</v>
      </c>
      <c r="P181" s="103">
        <v>0</v>
      </c>
      <c r="Q181" s="103">
        <v>0</v>
      </c>
      <c r="R181" s="156">
        <f t="shared" si="50"/>
        <v>0</v>
      </c>
    </row>
    <row r="182" spans="1:18" x14ac:dyDescent="0.2">
      <c r="A182" s="85">
        <v>7</v>
      </c>
      <c r="B182" s="149">
        <f t="shared" si="45"/>
        <v>45839</v>
      </c>
      <c r="C182" s="168">
        <f t="shared" si="55"/>
        <v>45874</v>
      </c>
      <c r="D182" s="168">
        <f t="shared" si="55"/>
        <v>45894</v>
      </c>
      <c r="E182" s="1" t="s">
        <v>56</v>
      </c>
      <c r="F182" s="85">
        <v>9</v>
      </c>
      <c r="G182" s="152">
        <v>0</v>
      </c>
      <c r="H182" s="153">
        <f t="shared" si="46"/>
        <v>3437.72</v>
      </c>
      <c r="I182" s="153">
        <f t="shared" si="57"/>
        <v>3361.78</v>
      </c>
      <c r="J182" s="103">
        <f t="shared" si="47"/>
        <v>0</v>
      </c>
      <c r="K182" s="154">
        <f t="shared" si="41"/>
        <v>0</v>
      </c>
      <c r="L182" s="155">
        <f t="shared" si="56"/>
        <v>0</v>
      </c>
      <c r="M182" s="103">
        <f t="shared" si="48"/>
        <v>0</v>
      </c>
      <c r="N182" s="156">
        <f t="shared" si="49"/>
        <v>0</v>
      </c>
      <c r="O182" s="103">
        <v>0</v>
      </c>
      <c r="P182" s="103">
        <v>0</v>
      </c>
      <c r="Q182" s="103">
        <v>0</v>
      </c>
      <c r="R182" s="156">
        <f t="shared" si="50"/>
        <v>0</v>
      </c>
    </row>
    <row r="183" spans="1:18" x14ac:dyDescent="0.2">
      <c r="A183" s="85">
        <v>8</v>
      </c>
      <c r="B183" s="149">
        <f t="shared" si="45"/>
        <v>45870</v>
      </c>
      <c r="C183" s="168">
        <f t="shared" si="55"/>
        <v>45904</v>
      </c>
      <c r="D183" s="168">
        <f t="shared" si="55"/>
        <v>45924</v>
      </c>
      <c r="E183" s="1" t="s">
        <v>56</v>
      </c>
      <c r="F183" s="85">
        <v>9</v>
      </c>
      <c r="G183" s="152">
        <v>0</v>
      </c>
      <c r="H183" s="153">
        <f t="shared" si="46"/>
        <v>3437.72</v>
      </c>
      <c r="I183" s="153">
        <f t="shared" si="57"/>
        <v>3361.78</v>
      </c>
      <c r="J183" s="103">
        <f t="shared" si="47"/>
        <v>0</v>
      </c>
      <c r="K183" s="154">
        <f t="shared" si="41"/>
        <v>0</v>
      </c>
      <c r="L183" s="155">
        <f t="shared" si="56"/>
        <v>0</v>
      </c>
      <c r="M183" s="103">
        <f t="shared" si="48"/>
        <v>0</v>
      </c>
      <c r="N183" s="156">
        <f t="shared" si="49"/>
        <v>0</v>
      </c>
      <c r="O183" s="103">
        <v>0</v>
      </c>
      <c r="P183" s="103">
        <v>0</v>
      </c>
      <c r="Q183" s="103">
        <v>0</v>
      </c>
      <c r="R183" s="156">
        <f t="shared" si="50"/>
        <v>0</v>
      </c>
    </row>
    <row r="184" spans="1:18" x14ac:dyDescent="0.2">
      <c r="A184" s="85">
        <v>9</v>
      </c>
      <c r="B184" s="149">
        <f t="shared" si="45"/>
        <v>45901</v>
      </c>
      <c r="C184" s="168">
        <f t="shared" si="55"/>
        <v>45933</v>
      </c>
      <c r="D184" s="168">
        <f t="shared" si="55"/>
        <v>45954</v>
      </c>
      <c r="E184" s="1" t="s">
        <v>56</v>
      </c>
      <c r="F184" s="85">
        <v>9</v>
      </c>
      <c r="G184" s="152">
        <v>0</v>
      </c>
      <c r="H184" s="153">
        <f t="shared" si="46"/>
        <v>3437.72</v>
      </c>
      <c r="I184" s="153">
        <f t="shared" si="57"/>
        <v>3361.78</v>
      </c>
      <c r="J184" s="103">
        <f t="shared" si="47"/>
        <v>0</v>
      </c>
      <c r="K184" s="154">
        <f t="shared" si="41"/>
        <v>0</v>
      </c>
      <c r="L184" s="155">
        <f t="shared" si="56"/>
        <v>0</v>
      </c>
      <c r="M184" s="103">
        <f t="shared" si="48"/>
        <v>0</v>
      </c>
      <c r="N184" s="156">
        <f t="shared" si="49"/>
        <v>0</v>
      </c>
      <c r="O184" s="103">
        <v>0</v>
      </c>
      <c r="P184" s="103">
        <v>0</v>
      </c>
      <c r="Q184" s="103">
        <v>0</v>
      </c>
      <c r="R184" s="156">
        <f t="shared" si="50"/>
        <v>0</v>
      </c>
    </row>
    <row r="185" spans="1:18" x14ac:dyDescent="0.2">
      <c r="A185" s="85">
        <v>10</v>
      </c>
      <c r="B185" s="149">
        <f t="shared" si="45"/>
        <v>45931</v>
      </c>
      <c r="C185" s="168">
        <f t="shared" si="55"/>
        <v>45966</v>
      </c>
      <c r="D185" s="168">
        <f t="shared" si="55"/>
        <v>45985</v>
      </c>
      <c r="E185" s="1" t="s">
        <v>56</v>
      </c>
      <c r="F185" s="85">
        <v>9</v>
      </c>
      <c r="G185" s="152">
        <v>0</v>
      </c>
      <c r="H185" s="153">
        <f t="shared" si="46"/>
        <v>3437.72</v>
      </c>
      <c r="I185" s="153">
        <f t="shared" si="57"/>
        <v>3361.78</v>
      </c>
      <c r="J185" s="103">
        <f t="shared" si="47"/>
        <v>0</v>
      </c>
      <c r="K185" s="154">
        <f t="shared" si="41"/>
        <v>0</v>
      </c>
      <c r="L185" s="155">
        <f t="shared" si="56"/>
        <v>0</v>
      </c>
      <c r="M185" s="103">
        <f t="shared" si="48"/>
        <v>0</v>
      </c>
      <c r="N185" s="156">
        <f t="shared" si="49"/>
        <v>0</v>
      </c>
      <c r="O185" s="103">
        <v>0</v>
      </c>
      <c r="P185" s="103">
        <v>0</v>
      </c>
      <c r="Q185" s="103">
        <v>0</v>
      </c>
      <c r="R185" s="156">
        <f t="shared" si="50"/>
        <v>0</v>
      </c>
    </row>
    <row r="186" spans="1:18" x14ac:dyDescent="0.2">
      <c r="A186" s="85">
        <v>11</v>
      </c>
      <c r="B186" s="149">
        <f t="shared" si="45"/>
        <v>45962</v>
      </c>
      <c r="C186" s="168">
        <f t="shared" si="55"/>
        <v>45994</v>
      </c>
      <c r="D186" s="168">
        <f t="shared" si="55"/>
        <v>46015</v>
      </c>
      <c r="E186" s="1" t="s">
        <v>56</v>
      </c>
      <c r="F186" s="85">
        <v>9</v>
      </c>
      <c r="G186" s="152">
        <v>0</v>
      </c>
      <c r="H186" s="153">
        <f t="shared" si="46"/>
        <v>3437.72</v>
      </c>
      <c r="I186" s="153">
        <f t="shared" si="57"/>
        <v>3361.78</v>
      </c>
      <c r="J186" s="103">
        <f t="shared" si="47"/>
        <v>0</v>
      </c>
      <c r="K186" s="154">
        <f t="shared" si="41"/>
        <v>0</v>
      </c>
      <c r="L186" s="155">
        <f t="shared" si="56"/>
        <v>0</v>
      </c>
      <c r="M186" s="103">
        <f t="shared" si="48"/>
        <v>0</v>
      </c>
      <c r="N186" s="156">
        <f t="shared" si="49"/>
        <v>0</v>
      </c>
      <c r="O186" s="103">
        <v>0</v>
      </c>
      <c r="P186" s="103">
        <v>0</v>
      </c>
      <c r="Q186" s="103">
        <v>0</v>
      </c>
      <c r="R186" s="156">
        <f t="shared" si="50"/>
        <v>0</v>
      </c>
    </row>
    <row r="187" spans="1:18" s="172" customFormat="1" x14ac:dyDescent="0.2">
      <c r="A187" s="85">
        <v>12</v>
      </c>
      <c r="B187" s="170">
        <f t="shared" si="45"/>
        <v>45992</v>
      </c>
      <c r="C187" s="168">
        <f t="shared" si="55"/>
        <v>46028</v>
      </c>
      <c r="D187" s="168">
        <f t="shared" si="55"/>
        <v>46048</v>
      </c>
      <c r="E187" s="171" t="s">
        <v>56</v>
      </c>
      <c r="F187" s="126">
        <v>9</v>
      </c>
      <c r="G187" s="160">
        <v>0</v>
      </c>
      <c r="H187" s="161">
        <f t="shared" si="46"/>
        <v>3437.72</v>
      </c>
      <c r="I187" s="161">
        <f t="shared" si="57"/>
        <v>3361.78</v>
      </c>
      <c r="J187" s="162">
        <f t="shared" si="47"/>
        <v>0</v>
      </c>
      <c r="K187" s="163">
        <f t="shared" si="41"/>
        <v>0</v>
      </c>
      <c r="L187" s="164">
        <f t="shared" si="56"/>
        <v>0</v>
      </c>
      <c r="M187" s="162">
        <f t="shared" si="48"/>
        <v>0</v>
      </c>
      <c r="N187" s="208">
        <f t="shared" si="49"/>
        <v>0</v>
      </c>
      <c r="O187" s="162">
        <v>0</v>
      </c>
      <c r="P187" s="162">
        <v>0</v>
      </c>
      <c r="Q187" s="162">
        <v>0</v>
      </c>
      <c r="R187" s="208">
        <f t="shared" si="50"/>
        <v>0</v>
      </c>
    </row>
    <row r="188" spans="1:18" x14ac:dyDescent="0.2">
      <c r="A188" s="85">
        <v>1</v>
      </c>
      <c r="B188" s="149">
        <f t="shared" si="45"/>
        <v>45658</v>
      </c>
      <c r="C188" s="166">
        <f t="shared" ref="C188:D211" si="58">+C176</f>
        <v>45693</v>
      </c>
      <c r="D188" s="166">
        <f t="shared" si="58"/>
        <v>45712</v>
      </c>
      <c r="E188" s="151" t="s">
        <v>57</v>
      </c>
      <c r="F188" s="85">
        <v>9</v>
      </c>
      <c r="G188" s="152">
        <v>37</v>
      </c>
      <c r="H188" s="153">
        <f t="shared" si="46"/>
        <v>3437.72</v>
      </c>
      <c r="I188" s="153">
        <f t="shared" si="57"/>
        <v>3361.78</v>
      </c>
      <c r="J188" s="103">
        <f t="shared" si="47"/>
        <v>124385.86</v>
      </c>
      <c r="K188" s="154">
        <f t="shared" si="41"/>
        <v>127195.64</v>
      </c>
      <c r="L188" s="155">
        <f t="shared" si="56"/>
        <v>-2809.7799999999988</v>
      </c>
      <c r="M188" s="103">
        <f t="shared" si="48"/>
        <v>-201.1961176304286</v>
      </c>
      <c r="N188" s="156">
        <f t="shared" si="49"/>
        <v>-3010.9761176304273</v>
      </c>
      <c r="O188" s="103">
        <v>0</v>
      </c>
      <c r="P188" s="103">
        <v>0</v>
      </c>
      <c r="Q188" s="103">
        <v>0</v>
      </c>
      <c r="R188" s="156">
        <f t="shared" si="50"/>
        <v>-3010.9761176304273</v>
      </c>
    </row>
    <row r="189" spans="1:18" x14ac:dyDescent="0.2">
      <c r="A189" s="85">
        <v>2</v>
      </c>
      <c r="B189" s="149">
        <f t="shared" si="45"/>
        <v>45689</v>
      </c>
      <c r="C189" s="168">
        <f t="shared" si="58"/>
        <v>45721</v>
      </c>
      <c r="D189" s="168">
        <f t="shared" si="58"/>
        <v>45740</v>
      </c>
      <c r="E189" s="157" t="s">
        <v>57</v>
      </c>
      <c r="F189" s="85">
        <v>9</v>
      </c>
      <c r="G189" s="152">
        <v>42</v>
      </c>
      <c r="H189" s="153">
        <f t="shared" si="46"/>
        <v>3437.72</v>
      </c>
      <c r="I189" s="153">
        <f t="shared" si="57"/>
        <v>3361.78</v>
      </c>
      <c r="J189" s="103">
        <f t="shared" si="47"/>
        <v>141194.76</v>
      </c>
      <c r="K189" s="154">
        <f t="shared" si="41"/>
        <v>144384.24</v>
      </c>
      <c r="L189" s="155">
        <f t="shared" si="56"/>
        <v>-3189.4799999999814</v>
      </c>
      <c r="M189" s="103">
        <f t="shared" si="48"/>
        <v>-228.38478217508111</v>
      </c>
      <c r="N189" s="156">
        <f t="shared" si="49"/>
        <v>-3417.8647821750624</v>
      </c>
      <c r="O189" s="103">
        <v>0</v>
      </c>
      <c r="P189" s="103">
        <v>0</v>
      </c>
      <c r="Q189" s="103">
        <v>0</v>
      </c>
      <c r="R189" s="156">
        <f t="shared" si="50"/>
        <v>-3417.8647821750624</v>
      </c>
    </row>
    <row r="190" spans="1:18" x14ac:dyDescent="0.2">
      <c r="A190" s="85">
        <v>3</v>
      </c>
      <c r="B190" s="149">
        <f t="shared" si="45"/>
        <v>45717</v>
      </c>
      <c r="C190" s="168">
        <f t="shared" si="58"/>
        <v>45750</v>
      </c>
      <c r="D190" s="168">
        <f t="shared" si="58"/>
        <v>45771</v>
      </c>
      <c r="E190" s="157" t="s">
        <v>57</v>
      </c>
      <c r="F190" s="85">
        <v>9</v>
      </c>
      <c r="G190" s="152">
        <v>30</v>
      </c>
      <c r="H190" s="153">
        <f t="shared" si="46"/>
        <v>3437.72</v>
      </c>
      <c r="I190" s="153">
        <f t="shared" si="57"/>
        <v>3361.78</v>
      </c>
      <c r="J190" s="103">
        <f t="shared" si="47"/>
        <v>100853.40000000001</v>
      </c>
      <c r="K190" s="154">
        <f t="shared" si="41"/>
        <v>103131.59999999999</v>
      </c>
      <c r="L190" s="155">
        <f>+J190-K190</f>
        <v>-2278.1999999999825</v>
      </c>
      <c r="M190" s="103">
        <f t="shared" si="48"/>
        <v>-163.13198726791506</v>
      </c>
      <c r="N190" s="156">
        <f t="shared" si="49"/>
        <v>-2441.3319872678976</v>
      </c>
      <c r="O190" s="103">
        <v>0</v>
      </c>
      <c r="P190" s="103">
        <v>0</v>
      </c>
      <c r="Q190" s="103">
        <v>0</v>
      </c>
      <c r="R190" s="156">
        <f t="shared" si="50"/>
        <v>-2441.3319872678976</v>
      </c>
    </row>
    <row r="191" spans="1:18" x14ac:dyDescent="0.2">
      <c r="A191" s="85">
        <v>4</v>
      </c>
      <c r="B191" s="149">
        <f t="shared" si="45"/>
        <v>45748</v>
      </c>
      <c r="C191" s="168">
        <f t="shared" si="58"/>
        <v>45782</v>
      </c>
      <c r="D191" s="168">
        <f t="shared" si="58"/>
        <v>45803</v>
      </c>
      <c r="E191" s="1" t="s">
        <v>57</v>
      </c>
      <c r="F191" s="85">
        <v>9</v>
      </c>
      <c r="G191" s="152">
        <v>32</v>
      </c>
      <c r="H191" s="153">
        <f t="shared" si="46"/>
        <v>3437.72</v>
      </c>
      <c r="I191" s="153">
        <f t="shared" si="57"/>
        <v>3361.78</v>
      </c>
      <c r="J191" s="103">
        <f t="shared" si="47"/>
        <v>107576.96000000001</v>
      </c>
      <c r="K191" s="154">
        <f t="shared" si="41"/>
        <v>110007.03999999999</v>
      </c>
      <c r="L191" s="155">
        <f t="shared" ref="L191:L201" si="59">+J191-K191</f>
        <v>-2430.0799999999872</v>
      </c>
      <c r="M191" s="103">
        <f t="shared" si="48"/>
        <v>-174.00745308577609</v>
      </c>
      <c r="N191" s="156">
        <f t="shared" si="49"/>
        <v>-2604.0874530857632</v>
      </c>
      <c r="O191" s="103">
        <v>0</v>
      </c>
      <c r="P191" s="103">
        <v>0</v>
      </c>
      <c r="Q191" s="103">
        <v>0</v>
      </c>
      <c r="R191" s="156">
        <f t="shared" si="50"/>
        <v>-2604.0874530857632</v>
      </c>
    </row>
    <row r="192" spans="1:18" x14ac:dyDescent="0.2">
      <c r="A192" s="85">
        <v>5</v>
      </c>
      <c r="B192" s="149">
        <f t="shared" si="45"/>
        <v>45778</v>
      </c>
      <c r="C192" s="168">
        <f t="shared" si="58"/>
        <v>45812</v>
      </c>
      <c r="D192" s="168">
        <f t="shared" si="58"/>
        <v>45832</v>
      </c>
      <c r="E192" s="1" t="s">
        <v>57</v>
      </c>
      <c r="F192" s="85">
        <v>9</v>
      </c>
      <c r="G192" s="152">
        <v>39</v>
      </c>
      <c r="H192" s="153">
        <f t="shared" si="46"/>
        <v>3437.72</v>
      </c>
      <c r="I192" s="153">
        <f t="shared" si="57"/>
        <v>3361.78</v>
      </c>
      <c r="J192" s="103">
        <f t="shared" si="47"/>
        <v>131109.42000000001</v>
      </c>
      <c r="K192" s="154">
        <f t="shared" si="41"/>
        <v>134071.07999999999</v>
      </c>
      <c r="L192" s="155">
        <f t="shared" si="59"/>
        <v>-2961.6599999999744</v>
      </c>
      <c r="M192" s="103">
        <f t="shared" si="48"/>
        <v>-212.07158344828963</v>
      </c>
      <c r="N192" s="156">
        <f t="shared" si="49"/>
        <v>-3173.7315834482642</v>
      </c>
      <c r="O192" s="103">
        <v>0</v>
      </c>
      <c r="P192" s="103">
        <v>0</v>
      </c>
      <c r="Q192" s="103">
        <v>0</v>
      </c>
      <c r="R192" s="156">
        <f t="shared" si="50"/>
        <v>-3173.7315834482642</v>
      </c>
    </row>
    <row r="193" spans="1:18" x14ac:dyDescent="0.2">
      <c r="A193" s="85">
        <v>6</v>
      </c>
      <c r="B193" s="149">
        <f t="shared" si="45"/>
        <v>45809</v>
      </c>
      <c r="C193" s="168">
        <f t="shared" si="58"/>
        <v>45841</v>
      </c>
      <c r="D193" s="168">
        <f t="shared" si="58"/>
        <v>45862</v>
      </c>
      <c r="E193" s="1" t="s">
        <v>57</v>
      </c>
      <c r="F193" s="85">
        <v>9</v>
      </c>
      <c r="G193" s="152">
        <v>47</v>
      </c>
      <c r="H193" s="153">
        <f t="shared" si="46"/>
        <v>3437.72</v>
      </c>
      <c r="I193" s="153">
        <f t="shared" si="57"/>
        <v>3361.78</v>
      </c>
      <c r="J193" s="103">
        <f t="shared" si="47"/>
        <v>158003.66</v>
      </c>
      <c r="K193" s="154">
        <f t="shared" si="41"/>
        <v>161572.84</v>
      </c>
      <c r="L193" s="155">
        <f t="shared" si="59"/>
        <v>-3569.179999999993</v>
      </c>
      <c r="M193" s="103">
        <f t="shared" si="48"/>
        <v>-255.57344671973365</v>
      </c>
      <c r="N193" s="156">
        <f t="shared" si="49"/>
        <v>-3824.7534467197265</v>
      </c>
      <c r="O193" s="103">
        <v>0</v>
      </c>
      <c r="P193" s="103">
        <v>0</v>
      </c>
      <c r="Q193" s="103">
        <v>0</v>
      </c>
      <c r="R193" s="156">
        <f t="shared" si="50"/>
        <v>-3824.7534467197265</v>
      </c>
    </row>
    <row r="194" spans="1:18" x14ac:dyDescent="0.2">
      <c r="A194" s="85">
        <v>7</v>
      </c>
      <c r="B194" s="149">
        <f t="shared" si="45"/>
        <v>45839</v>
      </c>
      <c r="C194" s="168">
        <f t="shared" si="58"/>
        <v>45874</v>
      </c>
      <c r="D194" s="168">
        <f t="shared" si="58"/>
        <v>45894</v>
      </c>
      <c r="E194" s="1" t="s">
        <v>57</v>
      </c>
      <c r="F194" s="85">
        <v>9</v>
      </c>
      <c r="G194" s="152">
        <v>53</v>
      </c>
      <c r="H194" s="153">
        <f t="shared" si="46"/>
        <v>3437.72</v>
      </c>
      <c r="I194" s="153">
        <f t="shared" si="57"/>
        <v>3361.78</v>
      </c>
      <c r="J194" s="103">
        <f t="shared" si="47"/>
        <v>178174.34</v>
      </c>
      <c r="K194" s="154">
        <f t="shared" si="41"/>
        <v>182199.16</v>
      </c>
      <c r="L194" s="155">
        <f t="shared" si="59"/>
        <v>-4024.820000000007</v>
      </c>
      <c r="M194" s="103">
        <f t="shared" si="48"/>
        <v>-288.19984417331665</v>
      </c>
      <c r="N194" s="156">
        <f t="shared" si="49"/>
        <v>-4313.0198441733237</v>
      </c>
      <c r="O194" s="103">
        <v>0</v>
      </c>
      <c r="P194" s="103">
        <v>0</v>
      </c>
      <c r="Q194" s="103">
        <v>0</v>
      </c>
      <c r="R194" s="156">
        <f t="shared" si="50"/>
        <v>-4313.0198441733237</v>
      </c>
    </row>
    <row r="195" spans="1:18" x14ac:dyDescent="0.2">
      <c r="A195" s="85">
        <v>8</v>
      </c>
      <c r="B195" s="149">
        <f t="shared" si="45"/>
        <v>45870</v>
      </c>
      <c r="C195" s="168">
        <f t="shared" si="58"/>
        <v>45904</v>
      </c>
      <c r="D195" s="168">
        <f t="shared" si="58"/>
        <v>45924</v>
      </c>
      <c r="E195" s="1" t="s">
        <v>57</v>
      </c>
      <c r="F195" s="85">
        <v>9</v>
      </c>
      <c r="G195" s="152">
        <v>52</v>
      </c>
      <c r="H195" s="153">
        <f t="shared" si="46"/>
        <v>3437.72</v>
      </c>
      <c r="I195" s="153">
        <f t="shared" si="57"/>
        <v>3361.78</v>
      </c>
      <c r="J195" s="103">
        <f t="shared" si="47"/>
        <v>174812.56</v>
      </c>
      <c r="K195" s="154">
        <f t="shared" si="41"/>
        <v>178761.44</v>
      </c>
      <c r="L195" s="155">
        <f t="shared" si="59"/>
        <v>-3948.8800000000047</v>
      </c>
      <c r="M195" s="103">
        <f t="shared" si="48"/>
        <v>-282.76211126438614</v>
      </c>
      <c r="N195" s="156">
        <f t="shared" si="49"/>
        <v>-4231.6421112643911</v>
      </c>
      <c r="O195" s="103">
        <v>0</v>
      </c>
      <c r="P195" s="103">
        <v>0</v>
      </c>
      <c r="Q195" s="103">
        <v>0</v>
      </c>
      <c r="R195" s="156">
        <f t="shared" si="50"/>
        <v>-4231.6421112643911</v>
      </c>
    </row>
    <row r="196" spans="1:18" x14ac:dyDescent="0.2">
      <c r="A196" s="85">
        <v>9</v>
      </c>
      <c r="B196" s="149">
        <f t="shared" si="45"/>
        <v>45901</v>
      </c>
      <c r="C196" s="168">
        <f t="shared" si="58"/>
        <v>45933</v>
      </c>
      <c r="D196" s="168">
        <f t="shared" si="58"/>
        <v>45954</v>
      </c>
      <c r="E196" s="1" t="s">
        <v>57</v>
      </c>
      <c r="F196" s="85">
        <v>9</v>
      </c>
      <c r="G196" s="152">
        <v>45</v>
      </c>
      <c r="H196" s="153">
        <f t="shared" si="46"/>
        <v>3437.72</v>
      </c>
      <c r="I196" s="153">
        <f t="shared" si="57"/>
        <v>3361.78</v>
      </c>
      <c r="J196" s="103">
        <f t="shared" si="47"/>
        <v>151280.1</v>
      </c>
      <c r="K196" s="154">
        <f t="shared" si="41"/>
        <v>154697.4</v>
      </c>
      <c r="L196" s="155">
        <f t="shared" si="59"/>
        <v>-3417.2999999999884</v>
      </c>
      <c r="M196" s="103">
        <f t="shared" si="48"/>
        <v>-244.69798090187263</v>
      </c>
      <c r="N196" s="156">
        <f t="shared" si="49"/>
        <v>-3661.997980901861</v>
      </c>
      <c r="O196" s="103">
        <v>0</v>
      </c>
      <c r="P196" s="103">
        <v>0</v>
      </c>
      <c r="Q196" s="103">
        <v>0</v>
      </c>
      <c r="R196" s="156">
        <f t="shared" si="50"/>
        <v>-3661.997980901861</v>
      </c>
    </row>
    <row r="197" spans="1:18" x14ac:dyDescent="0.2">
      <c r="A197" s="85">
        <v>10</v>
      </c>
      <c r="B197" s="149">
        <f t="shared" si="45"/>
        <v>45931</v>
      </c>
      <c r="C197" s="168">
        <f t="shared" si="58"/>
        <v>45966</v>
      </c>
      <c r="D197" s="168">
        <f t="shared" si="58"/>
        <v>45985</v>
      </c>
      <c r="E197" s="1" t="s">
        <v>57</v>
      </c>
      <c r="F197" s="85">
        <v>9</v>
      </c>
      <c r="G197" s="152">
        <v>41</v>
      </c>
      <c r="H197" s="153">
        <f t="shared" si="46"/>
        <v>3437.72</v>
      </c>
      <c r="I197" s="153">
        <f t="shared" si="57"/>
        <v>3361.78</v>
      </c>
      <c r="J197" s="103">
        <f t="shared" si="47"/>
        <v>137832.98000000001</v>
      </c>
      <c r="K197" s="154">
        <f t="shared" si="41"/>
        <v>140946.51999999999</v>
      </c>
      <c r="L197" s="155">
        <f t="shared" si="59"/>
        <v>-3113.539999999979</v>
      </c>
      <c r="M197" s="103">
        <f t="shared" si="48"/>
        <v>-222.94704926615063</v>
      </c>
      <c r="N197" s="156">
        <f t="shared" si="49"/>
        <v>-3336.4870492661298</v>
      </c>
      <c r="O197" s="103">
        <v>0</v>
      </c>
      <c r="P197" s="103">
        <v>0</v>
      </c>
      <c r="Q197" s="103">
        <v>0</v>
      </c>
      <c r="R197" s="156">
        <f t="shared" si="50"/>
        <v>-3336.4870492661298</v>
      </c>
    </row>
    <row r="198" spans="1:18" x14ac:dyDescent="0.2">
      <c r="A198" s="85">
        <v>11</v>
      </c>
      <c r="B198" s="149">
        <f t="shared" si="45"/>
        <v>45962</v>
      </c>
      <c r="C198" s="168">
        <f t="shared" si="58"/>
        <v>45994</v>
      </c>
      <c r="D198" s="168">
        <f t="shared" si="58"/>
        <v>46015</v>
      </c>
      <c r="E198" s="1" t="s">
        <v>57</v>
      </c>
      <c r="F198" s="85">
        <v>9</v>
      </c>
      <c r="G198" s="152">
        <v>29</v>
      </c>
      <c r="H198" s="153">
        <f t="shared" si="46"/>
        <v>3437.72</v>
      </c>
      <c r="I198" s="153">
        <f t="shared" si="57"/>
        <v>3361.78</v>
      </c>
      <c r="J198" s="103">
        <f t="shared" si="47"/>
        <v>97491.62000000001</v>
      </c>
      <c r="K198" s="154">
        <f t="shared" ref="K198:K209" si="60">+$G198*H198</f>
        <v>99693.87999999999</v>
      </c>
      <c r="L198" s="155">
        <f t="shared" si="59"/>
        <v>-2202.2599999999802</v>
      </c>
      <c r="M198" s="103">
        <f t="shared" si="48"/>
        <v>-157.69425435898458</v>
      </c>
      <c r="N198" s="156">
        <f t="shared" si="49"/>
        <v>-2359.9542543589646</v>
      </c>
      <c r="O198" s="103">
        <v>0</v>
      </c>
      <c r="P198" s="103">
        <v>0</v>
      </c>
      <c r="Q198" s="103">
        <v>0</v>
      </c>
      <c r="R198" s="156">
        <f t="shared" si="50"/>
        <v>-2359.9542543589646</v>
      </c>
    </row>
    <row r="199" spans="1:18" s="172" customFormat="1" x14ac:dyDescent="0.2">
      <c r="A199" s="85">
        <v>12</v>
      </c>
      <c r="B199" s="170">
        <f t="shared" si="45"/>
        <v>45992</v>
      </c>
      <c r="C199" s="168">
        <f t="shared" si="58"/>
        <v>46028</v>
      </c>
      <c r="D199" s="168">
        <f t="shared" si="58"/>
        <v>46048</v>
      </c>
      <c r="E199" s="171" t="s">
        <v>57</v>
      </c>
      <c r="F199" s="126">
        <v>9</v>
      </c>
      <c r="G199" s="160">
        <v>36</v>
      </c>
      <c r="H199" s="161">
        <f t="shared" si="46"/>
        <v>3437.72</v>
      </c>
      <c r="I199" s="161">
        <f t="shared" si="57"/>
        <v>3361.78</v>
      </c>
      <c r="J199" s="162">
        <f t="shared" si="47"/>
        <v>121024.08</v>
      </c>
      <c r="K199" s="163">
        <f t="shared" si="60"/>
        <v>123757.92</v>
      </c>
      <c r="L199" s="164">
        <f t="shared" si="59"/>
        <v>-2733.8399999999965</v>
      </c>
      <c r="M199" s="162">
        <f t="shared" si="48"/>
        <v>-195.75838472149809</v>
      </c>
      <c r="N199" s="208">
        <f t="shared" si="49"/>
        <v>-2929.5983847214948</v>
      </c>
      <c r="O199" s="162">
        <v>0</v>
      </c>
      <c r="P199" s="162">
        <v>0</v>
      </c>
      <c r="Q199" s="162">
        <v>0</v>
      </c>
      <c r="R199" s="208">
        <f t="shared" si="50"/>
        <v>-2929.5983847214948</v>
      </c>
    </row>
    <row r="200" spans="1:18" x14ac:dyDescent="0.2">
      <c r="A200" s="85">
        <v>1</v>
      </c>
      <c r="B200" s="149">
        <f t="shared" si="45"/>
        <v>45658</v>
      </c>
      <c r="C200" s="166">
        <f t="shared" si="58"/>
        <v>45693</v>
      </c>
      <c r="D200" s="166">
        <f t="shared" si="58"/>
        <v>45712</v>
      </c>
      <c r="E200" s="151" t="s">
        <v>17</v>
      </c>
      <c r="F200" s="85">
        <v>9</v>
      </c>
      <c r="G200" s="152">
        <v>106</v>
      </c>
      <c r="H200" s="153">
        <f t="shared" si="46"/>
        <v>3437.72</v>
      </c>
      <c r="I200" s="153">
        <f t="shared" si="57"/>
        <v>3361.78</v>
      </c>
      <c r="J200" s="103">
        <f t="shared" si="47"/>
        <v>356348.68</v>
      </c>
      <c r="K200" s="154">
        <f t="shared" si="60"/>
        <v>364398.32</v>
      </c>
      <c r="L200" s="155">
        <f t="shared" si="59"/>
        <v>-8049.640000000014</v>
      </c>
      <c r="M200" s="103">
        <f t="shared" si="48"/>
        <v>-576.3996883466333</v>
      </c>
      <c r="N200" s="156">
        <f t="shared" si="49"/>
        <v>-8626.0396883466474</v>
      </c>
      <c r="O200" s="103">
        <v>0</v>
      </c>
      <c r="P200" s="103">
        <v>0</v>
      </c>
      <c r="Q200" s="103">
        <v>0</v>
      </c>
      <c r="R200" s="156">
        <f t="shared" si="50"/>
        <v>-8626.0396883466474</v>
      </c>
    </row>
    <row r="201" spans="1:18" x14ac:dyDescent="0.2">
      <c r="A201" s="85">
        <v>2</v>
      </c>
      <c r="B201" s="149">
        <f t="shared" si="45"/>
        <v>45689</v>
      </c>
      <c r="C201" s="168">
        <f t="shared" si="58"/>
        <v>45721</v>
      </c>
      <c r="D201" s="168">
        <f t="shared" si="58"/>
        <v>45740</v>
      </c>
      <c r="E201" s="157" t="s">
        <v>17</v>
      </c>
      <c r="F201" s="85">
        <v>9</v>
      </c>
      <c r="G201" s="152">
        <v>102</v>
      </c>
      <c r="H201" s="153">
        <f t="shared" si="46"/>
        <v>3437.72</v>
      </c>
      <c r="I201" s="153">
        <f t="shared" si="57"/>
        <v>3361.78</v>
      </c>
      <c r="J201" s="103">
        <f t="shared" si="47"/>
        <v>342901.56</v>
      </c>
      <c r="K201" s="154">
        <f t="shared" si="60"/>
        <v>350647.44</v>
      </c>
      <c r="L201" s="155">
        <f t="shared" si="59"/>
        <v>-7745.8800000000047</v>
      </c>
      <c r="M201" s="103">
        <f t="shared" si="48"/>
        <v>-554.64875671091124</v>
      </c>
      <c r="N201" s="156">
        <f t="shared" si="49"/>
        <v>-8300.5287567109153</v>
      </c>
      <c r="O201" s="103">
        <v>0</v>
      </c>
      <c r="P201" s="103">
        <v>0</v>
      </c>
      <c r="Q201" s="103">
        <v>0</v>
      </c>
      <c r="R201" s="156">
        <f t="shared" si="50"/>
        <v>-8300.5287567109153</v>
      </c>
    </row>
    <row r="202" spans="1:18" x14ac:dyDescent="0.2">
      <c r="A202" s="85">
        <v>3</v>
      </c>
      <c r="B202" s="149">
        <f t="shared" si="45"/>
        <v>45717</v>
      </c>
      <c r="C202" s="168">
        <f t="shared" si="58"/>
        <v>45750</v>
      </c>
      <c r="D202" s="168">
        <f t="shared" si="58"/>
        <v>45771</v>
      </c>
      <c r="E202" s="157" t="s">
        <v>17</v>
      </c>
      <c r="F202" s="85">
        <v>9</v>
      </c>
      <c r="G202" s="152">
        <v>100</v>
      </c>
      <c r="H202" s="153">
        <f t="shared" si="46"/>
        <v>3437.72</v>
      </c>
      <c r="I202" s="153">
        <f t="shared" si="57"/>
        <v>3361.78</v>
      </c>
      <c r="J202" s="103">
        <f t="shared" si="47"/>
        <v>336178</v>
      </c>
      <c r="K202" s="154">
        <f t="shared" si="60"/>
        <v>343772</v>
      </c>
      <c r="L202" s="155">
        <f>+J202-K202</f>
        <v>-7594</v>
      </c>
      <c r="M202" s="103">
        <f t="shared" si="48"/>
        <v>-543.77329089305033</v>
      </c>
      <c r="N202" s="156">
        <f t="shared" si="49"/>
        <v>-8137.7732908930502</v>
      </c>
      <c r="O202" s="103">
        <v>0</v>
      </c>
      <c r="P202" s="103">
        <v>0</v>
      </c>
      <c r="Q202" s="103">
        <v>0</v>
      </c>
      <c r="R202" s="156">
        <f t="shared" si="50"/>
        <v>-8137.7732908930502</v>
      </c>
    </row>
    <row r="203" spans="1:18" x14ac:dyDescent="0.2">
      <c r="A203" s="85">
        <v>4</v>
      </c>
      <c r="B203" s="149">
        <f t="shared" si="45"/>
        <v>45748</v>
      </c>
      <c r="C203" s="168">
        <f t="shared" si="58"/>
        <v>45782</v>
      </c>
      <c r="D203" s="168">
        <f t="shared" si="58"/>
        <v>45803</v>
      </c>
      <c r="E203" s="157" t="s">
        <v>17</v>
      </c>
      <c r="F203" s="85">
        <v>9</v>
      </c>
      <c r="G203" s="152">
        <v>60</v>
      </c>
      <c r="H203" s="153">
        <f t="shared" si="46"/>
        <v>3437.72</v>
      </c>
      <c r="I203" s="153">
        <f t="shared" si="57"/>
        <v>3361.78</v>
      </c>
      <c r="J203" s="103">
        <f t="shared" si="47"/>
        <v>201706.80000000002</v>
      </c>
      <c r="K203" s="154">
        <f t="shared" si="60"/>
        <v>206263.19999999998</v>
      </c>
      <c r="L203" s="155">
        <f t="shared" ref="L203:L211" si="61">+J203-K203</f>
        <v>-4556.3999999999651</v>
      </c>
      <c r="M203" s="103">
        <f t="shared" si="48"/>
        <v>-326.26397453583013</v>
      </c>
      <c r="N203" s="156">
        <f t="shared" si="49"/>
        <v>-4882.6639745357952</v>
      </c>
      <c r="O203" s="103">
        <v>0</v>
      </c>
      <c r="P203" s="103">
        <v>0</v>
      </c>
      <c r="Q203" s="103">
        <v>0</v>
      </c>
      <c r="R203" s="156">
        <f t="shared" si="50"/>
        <v>-4882.6639745357952</v>
      </c>
    </row>
    <row r="204" spans="1:18" x14ac:dyDescent="0.2">
      <c r="A204" s="85">
        <v>5</v>
      </c>
      <c r="B204" s="149">
        <f t="shared" si="45"/>
        <v>45778</v>
      </c>
      <c r="C204" s="168">
        <f t="shared" si="58"/>
        <v>45812</v>
      </c>
      <c r="D204" s="168">
        <f t="shared" si="58"/>
        <v>45832</v>
      </c>
      <c r="E204" s="1" t="s">
        <v>17</v>
      </c>
      <c r="F204" s="85">
        <v>9</v>
      </c>
      <c r="G204" s="152">
        <v>96</v>
      </c>
      <c r="H204" s="153">
        <f t="shared" si="46"/>
        <v>3437.72</v>
      </c>
      <c r="I204" s="153">
        <f t="shared" si="57"/>
        <v>3361.78</v>
      </c>
      <c r="J204" s="103">
        <f t="shared" si="47"/>
        <v>322730.88</v>
      </c>
      <c r="K204" s="154">
        <f t="shared" si="60"/>
        <v>330021.12</v>
      </c>
      <c r="L204" s="155">
        <f t="shared" si="61"/>
        <v>-7290.2399999999907</v>
      </c>
      <c r="M204" s="103">
        <f t="shared" si="48"/>
        <v>-522.02235925732828</v>
      </c>
      <c r="N204" s="156">
        <f t="shared" si="49"/>
        <v>-7812.2623592573191</v>
      </c>
      <c r="O204" s="103">
        <v>0</v>
      </c>
      <c r="P204" s="103">
        <v>0</v>
      </c>
      <c r="Q204" s="103">
        <v>0</v>
      </c>
      <c r="R204" s="156">
        <f t="shared" si="50"/>
        <v>-7812.2623592573191</v>
      </c>
    </row>
    <row r="205" spans="1:18" x14ac:dyDescent="0.2">
      <c r="A205" s="85">
        <v>6</v>
      </c>
      <c r="B205" s="149">
        <f t="shared" si="45"/>
        <v>45809</v>
      </c>
      <c r="C205" s="168">
        <f t="shared" si="58"/>
        <v>45841</v>
      </c>
      <c r="D205" s="168">
        <f t="shared" si="58"/>
        <v>45862</v>
      </c>
      <c r="E205" s="1" t="s">
        <v>17</v>
      </c>
      <c r="F205" s="85">
        <v>9</v>
      </c>
      <c r="G205" s="152">
        <v>119</v>
      </c>
      <c r="H205" s="153">
        <f t="shared" si="46"/>
        <v>3437.72</v>
      </c>
      <c r="I205" s="153">
        <f t="shared" si="57"/>
        <v>3361.78</v>
      </c>
      <c r="J205" s="103">
        <f t="shared" si="47"/>
        <v>400051.82</v>
      </c>
      <c r="K205" s="154">
        <f t="shared" si="60"/>
        <v>409088.68</v>
      </c>
      <c r="L205" s="155">
        <f t="shared" si="61"/>
        <v>-9036.859999999986</v>
      </c>
      <c r="M205" s="103">
        <f t="shared" si="48"/>
        <v>-647.0902161627298</v>
      </c>
      <c r="N205" s="156">
        <f t="shared" si="49"/>
        <v>-9683.9502161627152</v>
      </c>
      <c r="O205" s="103">
        <v>0</v>
      </c>
      <c r="P205" s="103">
        <v>0</v>
      </c>
      <c r="Q205" s="103">
        <v>0</v>
      </c>
      <c r="R205" s="156">
        <f t="shared" si="50"/>
        <v>-9683.9502161627152</v>
      </c>
    </row>
    <row r="206" spans="1:18" x14ac:dyDescent="0.2">
      <c r="A206" s="85">
        <v>7</v>
      </c>
      <c r="B206" s="149">
        <f t="shared" si="45"/>
        <v>45839</v>
      </c>
      <c r="C206" s="168">
        <f t="shared" si="58"/>
        <v>45874</v>
      </c>
      <c r="D206" s="168">
        <f t="shared" si="58"/>
        <v>45894</v>
      </c>
      <c r="E206" s="1" t="s">
        <v>17</v>
      </c>
      <c r="F206" s="85">
        <v>9</v>
      </c>
      <c r="G206" s="152">
        <v>118</v>
      </c>
      <c r="H206" s="153">
        <f t="shared" si="46"/>
        <v>3437.72</v>
      </c>
      <c r="I206" s="153">
        <f t="shared" si="57"/>
        <v>3361.78</v>
      </c>
      <c r="J206" s="103">
        <f t="shared" si="47"/>
        <v>396690.04000000004</v>
      </c>
      <c r="K206" s="154">
        <f t="shared" si="60"/>
        <v>405650.95999999996</v>
      </c>
      <c r="L206" s="155">
        <f t="shared" si="61"/>
        <v>-8960.9199999999255</v>
      </c>
      <c r="M206" s="103">
        <f t="shared" si="48"/>
        <v>-641.65248325379946</v>
      </c>
      <c r="N206" s="156">
        <f t="shared" si="49"/>
        <v>-9602.5724832537253</v>
      </c>
      <c r="O206" s="103">
        <v>0</v>
      </c>
      <c r="P206" s="103">
        <v>0</v>
      </c>
      <c r="Q206" s="103">
        <v>0</v>
      </c>
      <c r="R206" s="156">
        <f t="shared" si="50"/>
        <v>-9602.5724832537253</v>
      </c>
    </row>
    <row r="207" spans="1:18" x14ac:dyDescent="0.2">
      <c r="A207" s="85">
        <v>8</v>
      </c>
      <c r="B207" s="149">
        <f t="shared" si="45"/>
        <v>45870</v>
      </c>
      <c r="C207" s="168">
        <f t="shared" si="58"/>
        <v>45904</v>
      </c>
      <c r="D207" s="168">
        <f t="shared" si="58"/>
        <v>45924</v>
      </c>
      <c r="E207" s="1" t="s">
        <v>17</v>
      </c>
      <c r="F207" s="85">
        <v>9</v>
      </c>
      <c r="G207" s="152">
        <v>119</v>
      </c>
      <c r="H207" s="153">
        <f t="shared" si="46"/>
        <v>3437.72</v>
      </c>
      <c r="I207" s="153">
        <f t="shared" si="57"/>
        <v>3361.78</v>
      </c>
      <c r="J207" s="103">
        <f t="shared" si="47"/>
        <v>400051.82</v>
      </c>
      <c r="K207" s="154">
        <f t="shared" si="60"/>
        <v>409088.68</v>
      </c>
      <c r="L207" s="155">
        <f t="shared" si="61"/>
        <v>-9036.859999999986</v>
      </c>
      <c r="M207" s="103">
        <f t="shared" si="48"/>
        <v>-647.0902161627298</v>
      </c>
      <c r="N207" s="156">
        <f t="shared" si="49"/>
        <v>-9683.9502161627152</v>
      </c>
      <c r="O207" s="103">
        <v>0</v>
      </c>
      <c r="P207" s="103">
        <v>0</v>
      </c>
      <c r="Q207" s="103">
        <v>0</v>
      </c>
      <c r="R207" s="156">
        <f t="shared" si="50"/>
        <v>-9683.9502161627152</v>
      </c>
    </row>
    <row r="208" spans="1:18" x14ac:dyDescent="0.2">
      <c r="A208" s="85">
        <v>9</v>
      </c>
      <c r="B208" s="149">
        <f t="shared" si="45"/>
        <v>45901</v>
      </c>
      <c r="C208" s="168">
        <f t="shared" si="58"/>
        <v>45933</v>
      </c>
      <c r="D208" s="168">
        <f t="shared" si="58"/>
        <v>45954</v>
      </c>
      <c r="E208" s="1" t="s">
        <v>17</v>
      </c>
      <c r="F208" s="85">
        <v>9</v>
      </c>
      <c r="G208" s="152">
        <v>101</v>
      </c>
      <c r="H208" s="153">
        <f t="shared" si="46"/>
        <v>3437.72</v>
      </c>
      <c r="I208" s="153">
        <f t="shared" si="57"/>
        <v>3361.78</v>
      </c>
      <c r="J208" s="103">
        <f t="shared" si="47"/>
        <v>339539.78</v>
      </c>
      <c r="K208" s="154">
        <f t="shared" si="60"/>
        <v>347209.72</v>
      </c>
      <c r="L208" s="155">
        <f t="shared" si="61"/>
        <v>-7669.9399999999441</v>
      </c>
      <c r="M208" s="103">
        <f t="shared" si="48"/>
        <v>-549.21102380198079</v>
      </c>
      <c r="N208" s="156">
        <f t="shared" si="49"/>
        <v>-8219.1510238019255</v>
      </c>
      <c r="O208" s="103">
        <v>0</v>
      </c>
      <c r="P208" s="103">
        <v>0</v>
      </c>
      <c r="Q208" s="103">
        <v>0</v>
      </c>
      <c r="R208" s="156">
        <f t="shared" si="50"/>
        <v>-8219.1510238019255</v>
      </c>
    </row>
    <row r="209" spans="1:18" x14ac:dyDescent="0.2">
      <c r="A209" s="85">
        <v>10</v>
      </c>
      <c r="B209" s="149">
        <f t="shared" si="45"/>
        <v>45931</v>
      </c>
      <c r="C209" s="168">
        <f t="shared" si="58"/>
        <v>45966</v>
      </c>
      <c r="D209" s="168">
        <f t="shared" si="58"/>
        <v>45985</v>
      </c>
      <c r="E209" s="1" t="s">
        <v>17</v>
      </c>
      <c r="F209" s="85">
        <v>9</v>
      </c>
      <c r="G209" s="152">
        <v>106</v>
      </c>
      <c r="H209" s="153">
        <f t="shared" si="46"/>
        <v>3437.72</v>
      </c>
      <c r="I209" s="153">
        <f t="shared" si="57"/>
        <v>3361.78</v>
      </c>
      <c r="J209" s="103">
        <f t="shared" si="47"/>
        <v>356348.68</v>
      </c>
      <c r="K209" s="154">
        <f t="shared" si="60"/>
        <v>364398.32</v>
      </c>
      <c r="L209" s="155">
        <f t="shared" si="61"/>
        <v>-8049.640000000014</v>
      </c>
      <c r="M209" s="103">
        <f t="shared" si="48"/>
        <v>-576.3996883466333</v>
      </c>
      <c r="N209" s="156">
        <f t="shared" si="49"/>
        <v>-8626.0396883466474</v>
      </c>
      <c r="O209" s="103">
        <v>0</v>
      </c>
      <c r="P209" s="103">
        <v>0</v>
      </c>
      <c r="Q209" s="103">
        <v>0</v>
      </c>
      <c r="R209" s="156">
        <f t="shared" si="50"/>
        <v>-8626.0396883466474</v>
      </c>
    </row>
    <row r="210" spans="1:18" x14ac:dyDescent="0.2">
      <c r="A210" s="85">
        <v>11</v>
      </c>
      <c r="B210" s="149">
        <f t="shared" si="45"/>
        <v>45962</v>
      </c>
      <c r="C210" s="168">
        <f t="shared" si="58"/>
        <v>45994</v>
      </c>
      <c r="D210" s="168">
        <f t="shared" si="58"/>
        <v>46015</v>
      </c>
      <c r="E210" s="1" t="s">
        <v>17</v>
      </c>
      <c r="F210" s="85">
        <v>9</v>
      </c>
      <c r="G210" s="152">
        <v>35</v>
      </c>
      <c r="H210" s="153">
        <f t="shared" si="46"/>
        <v>3437.72</v>
      </c>
      <c r="I210" s="153">
        <f t="shared" si="57"/>
        <v>3361.78</v>
      </c>
      <c r="J210" s="103">
        <f t="shared" si="47"/>
        <v>117662.3</v>
      </c>
      <c r="K210" s="154">
        <f>+$G210*H210</f>
        <v>120320.2</v>
      </c>
      <c r="L210" s="155">
        <f t="shared" si="61"/>
        <v>-2657.8999999999942</v>
      </c>
      <c r="M210" s="103">
        <f t="shared" si="48"/>
        <v>-190.3206518125676</v>
      </c>
      <c r="N210" s="156">
        <f t="shared" si="49"/>
        <v>-2848.2206518125618</v>
      </c>
      <c r="O210" s="103">
        <v>0</v>
      </c>
      <c r="P210" s="103">
        <v>0</v>
      </c>
      <c r="Q210" s="103">
        <v>0</v>
      </c>
      <c r="R210" s="156">
        <f t="shared" si="50"/>
        <v>-2848.2206518125618</v>
      </c>
    </row>
    <row r="211" spans="1:18" s="172" customFormat="1" x14ac:dyDescent="0.2">
      <c r="A211" s="85">
        <v>12</v>
      </c>
      <c r="B211" s="170">
        <f t="shared" si="45"/>
        <v>45992</v>
      </c>
      <c r="C211" s="173">
        <f t="shared" si="58"/>
        <v>46028</v>
      </c>
      <c r="D211" s="173">
        <f t="shared" si="58"/>
        <v>46048</v>
      </c>
      <c r="E211" s="171" t="s">
        <v>17</v>
      </c>
      <c r="F211" s="126">
        <v>9</v>
      </c>
      <c r="G211" s="160">
        <v>103</v>
      </c>
      <c r="H211" s="161">
        <f t="shared" si="46"/>
        <v>3437.72</v>
      </c>
      <c r="I211" s="161">
        <f t="shared" si="57"/>
        <v>3361.78</v>
      </c>
      <c r="J211" s="162">
        <f t="shared" si="47"/>
        <v>346263.34</v>
      </c>
      <c r="K211" s="163">
        <f>+$G211*H211</f>
        <v>354085.16</v>
      </c>
      <c r="L211" s="164">
        <f t="shared" si="61"/>
        <v>-7821.8199999999488</v>
      </c>
      <c r="M211" s="162">
        <f t="shared" si="48"/>
        <v>-560.08648961984181</v>
      </c>
      <c r="N211" s="208">
        <f t="shared" si="49"/>
        <v>-8381.9064896197906</v>
      </c>
      <c r="O211" s="162">
        <v>0</v>
      </c>
      <c r="P211" s="162">
        <v>0</v>
      </c>
      <c r="Q211" s="209">
        <v>0</v>
      </c>
      <c r="R211" s="208">
        <f t="shared" si="50"/>
        <v>-8381.9064896197906</v>
      </c>
    </row>
    <row r="212" spans="1:18" x14ac:dyDescent="0.2">
      <c r="G212" s="178">
        <f>SUM(G20:G211)</f>
        <v>105873</v>
      </c>
      <c r="H212" s="45"/>
      <c r="J212" s="45">
        <f>SUM(J20:J211)</f>
        <v>355921733.9399997</v>
      </c>
      <c r="K212" s="45">
        <f>SUM(K20:K211)</f>
        <v>363961729.5600003</v>
      </c>
      <c r="L212" s="45">
        <f>SUM(L20:L211)</f>
        <v>-8039995.6199999647</v>
      </c>
      <c r="M212" s="45">
        <f>SUM(M20:M211)</f>
        <v>-575709.09626719914</v>
      </c>
      <c r="N212" s="45"/>
      <c r="O212" s="45"/>
      <c r="P212" s="45">
        <f>SUM(P20:P211)</f>
        <v>0</v>
      </c>
      <c r="Q212" s="45"/>
      <c r="R212" s="179">
        <f>SUM(R20:R211)</f>
        <v>-8615704.7162671667</v>
      </c>
    </row>
    <row r="213" spans="1:18" x14ac:dyDescent="0.2">
      <c r="P213" s="45"/>
      <c r="Q213" s="45"/>
    </row>
    <row r="220" spans="1:18" x14ac:dyDescent="0.2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3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MjowNy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NjozNCBQTTwvRGF0ZVRpbWU+PExhYmVsU3RyaW5nPkFFUCBJbnRlcm5hbDwvTGFiZWxTdHJpbmc+PC9pdGVtPjwvbGFiZWxIaXN0b3J5Pg==</Value>
</WrappedLabelHistory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710B89B4-2CB0-4EFA-B699-9BFBDAAEBB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50285AF-BA6B-4E34-8A33-348A192DBC81}">
  <ds:schemaRefs>
    <ds:schemaRef ds:uri="http://www.w3.org/2001/XMLSchema"/>
    <ds:schemaRef ds:uri="http://www.boldonjames.com/2016/02/Classifier/internal/wrappedLabelHistory"/>
  </ds:schemaRefs>
</ds:datastoreItem>
</file>

<file path=customXml/itemProps3.xml><?xml version="1.0" encoding="utf-8"?>
<ds:datastoreItem xmlns:ds="http://schemas.openxmlformats.org/officeDocument/2006/customXml" ds:itemID="{16A98AA1-25D9-408D-BB6F-7208D505BDC8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4.xml><?xml version="1.0" encoding="utf-8"?>
<ds:datastoreItem xmlns:ds="http://schemas.openxmlformats.org/officeDocument/2006/customXml" ds:itemID="{F892E340-E561-4672-93E2-08E196B0A84A}">
  <ds:schemaRefs>
    <ds:schemaRef ds:uri="http://schemas.microsoft.com/sharepoint/v3/contenttype/forms"/>
  </ds:schemaRefs>
</ds:datastoreItem>
</file>

<file path=customXml/itemProps5.xml><?xml version="1.0" encoding="utf-8"?>
<ds:datastoreItem xmlns:ds="http://schemas.openxmlformats.org/officeDocument/2006/customXml" ds:itemID="{BBDEC70F-A2C0-4603-89AC-EBEB42D1A65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Instructions</vt:lpstr>
      <vt:lpstr>20XX NOLC Refund Detail</vt:lpstr>
      <vt:lpstr>Summary</vt:lpstr>
      <vt:lpstr>Pivot</vt:lpstr>
      <vt:lpstr>Transactions</vt:lpstr>
      <vt:lpstr>Transactions!AS1_1999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2023-05-24T19:44:22Z</cp:lastPrinted>
  <dcterms:created xsi:type="dcterms:W3CDTF">2009-09-04T18:19:13Z</dcterms:created>
  <dcterms:modified xsi:type="dcterms:W3CDTF">2026-05-21T20:37:17Z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a7ee4e5d-425d-498f-aebd-2f3d9da74dc5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{450285AF-BA6B-4E34-8A33-348A192DBC81}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